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MONITORAMENTO/2025/"/>
    </mc:Choice>
  </mc:AlternateContent>
  <xr:revisionPtr revIDLastSave="0" documentId="8_{8729A67E-07C4-4782-9C40-6B400124638D}" xr6:coauthVersionLast="47" xr6:coauthVersionMax="47" xr10:uidLastSave="{00000000-0000-0000-0000-000000000000}"/>
  <bookViews>
    <workbookView xWindow="-108" yWindow="-108" windowWidth="23256" windowHeight="12456" xr2:uid="{90447C3C-DD74-497E-97D2-9973C6F34D14}"/>
  </bookViews>
  <sheets>
    <sheet name="Visão Geral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'Visão Geral'!$G$72:$G$78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8" i="1" l="1"/>
  <c r="G76" i="1"/>
  <c r="G75" i="1"/>
  <c r="G74" i="1"/>
  <c r="G72" i="1" s="1"/>
  <c r="AM72" i="1"/>
  <c r="AK72" i="1"/>
  <c r="AI72" i="1"/>
  <c r="AG72" i="1"/>
  <c r="AE72" i="1"/>
  <c r="AC72" i="1"/>
  <c r="AA72" i="1"/>
  <c r="Y72" i="1"/>
  <c r="W72" i="1"/>
  <c r="U72" i="1"/>
  <c r="G66" i="1"/>
  <c r="G65" i="1"/>
  <c r="G64" i="1"/>
  <c r="G63" i="1"/>
  <c r="AM61" i="1"/>
  <c r="AK61" i="1"/>
  <c r="AI61" i="1"/>
  <c r="AG61" i="1"/>
  <c r="AE61" i="1"/>
  <c r="AC61" i="1"/>
  <c r="AA61" i="1"/>
  <c r="Y61" i="1"/>
  <c r="W61" i="1"/>
  <c r="U61" i="1"/>
  <c r="G54" i="1"/>
  <c r="G53" i="1" s="1"/>
  <c r="AM53" i="1"/>
  <c r="AK53" i="1"/>
  <c r="AI53" i="1"/>
  <c r="AG53" i="1"/>
  <c r="AE53" i="1"/>
  <c r="AC53" i="1"/>
  <c r="AA53" i="1"/>
  <c r="Y53" i="1"/>
  <c r="W53" i="1"/>
  <c r="U53" i="1"/>
  <c r="G51" i="1"/>
  <c r="G49" i="1" s="1"/>
  <c r="G50" i="1"/>
  <c r="G47" i="1"/>
  <c r="G46" i="1"/>
  <c r="G45" i="1"/>
  <c r="G44" i="1"/>
  <c r="G43" i="1"/>
  <c r="G42" i="1"/>
  <c r="G41" i="1"/>
  <c r="G39" i="1"/>
  <c r="G38" i="1"/>
  <c r="G37" i="1"/>
  <c r="G35" i="1"/>
  <c r="G34" i="1"/>
  <c r="G33" i="1"/>
  <c r="G32" i="1" s="1"/>
  <c r="G30" i="1"/>
  <c r="G28" i="1"/>
  <c r="G26" i="1"/>
  <c r="G23" i="1"/>
  <c r="G21" i="1"/>
  <c r="G20" i="1"/>
  <c r="G19" i="1"/>
  <c r="G18" i="1"/>
  <c r="G16" i="1" s="1"/>
  <c r="G15" i="1" s="1"/>
  <c r="G17" i="1"/>
  <c r="G12" i="1"/>
  <c r="G11" i="1"/>
  <c r="G10" i="1"/>
  <c r="G7" i="1"/>
  <c r="G6" i="1"/>
  <c r="G5" i="1"/>
  <c r="G62" i="1" l="1"/>
  <c r="G61" i="1" s="1"/>
</calcChain>
</file>

<file path=xl/sharedStrings.xml><?xml version="1.0" encoding="utf-8"?>
<sst xmlns="http://schemas.openxmlformats.org/spreadsheetml/2006/main" count="77" uniqueCount="67">
  <si>
    <t>Habite-se</t>
  </si>
  <si>
    <t>Relatório de Monitoramento Mensal - CRI C290 - 41ªEmissão da Cia Província de Securitização S.A.</t>
  </si>
  <si>
    <t>Histórico</t>
  </si>
  <si>
    <t>Taxa Op</t>
  </si>
  <si>
    <t>Auditoria</t>
  </si>
  <si>
    <t>1.</t>
  </si>
  <si>
    <t>Saldo Devedor da Carteira Full (Valor Nominal)</t>
  </si>
  <si>
    <t>Data Base</t>
  </si>
  <si>
    <t>Elegível</t>
  </si>
  <si>
    <t>Término da Obra</t>
  </si>
  <si>
    <t>Inelegível</t>
  </si>
  <si>
    <t>não incluídas as unidades de SCP</t>
  </si>
  <si>
    <t>2.</t>
  </si>
  <si>
    <t>Saldo Devedor da Carteira Full (Valor Presente - Taxa da Operação - 11,25% a.a.)</t>
  </si>
  <si>
    <t>3.</t>
  </si>
  <si>
    <t>Disponibilidade do Empreendimento</t>
  </si>
  <si>
    <t>Contratos Vendidos e Cedidos à Operação com fluxo</t>
  </si>
  <si>
    <t>Contratos Quitados</t>
  </si>
  <si>
    <t>Disponíveis</t>
  </si>
  <si>
    <t>Fora de Venda e/ou Dacionados</t>
  </si>
  <si>
    <t>4.</t>
  </si>
  <si>
    <t>Contratos Vendidos no mês - Qtde</t>
  </si>
  <si>
    <t>Comentário: a unidade 403 foi trocada pela unidade 601 com acréscimo do saldo devedor. Aguardamos a formalização do documento</t>
  </si>
  <si>
    <t>5.</t>
  </si>
  <si>
    <t>Contratos Vendidos no mês - Valor</t>
  </si>
  <si>
    <t>6.</t>
  </si>
  <si>
    <t>Distratos no mês</t>
  </si>
  <si>
    <t>7.</t>
  </si>
  <si>
    <t>Recebimentos - Total</t>
  </si>
  <si>
    <t>Categoria do Recebimento</t>
  </si>
  <si>
    <t>Recebimento com Vencimento Dentro do Mês - Valor Total (100%)</t>
  </si>
  <si>
    <t>Recebimento por Antecipação de Parcelas (100%)</t>
  </si>
  <si>
    <t>Recebimento de parcelas em atraso (100%)</t>
  </si>
  <si>
    <t>8.</t>
  </si>
  <si>
    <t>Contas de Recebimentos</t>
  </si>
  <si>
    <t>Patrimônio Separado</t>
  </si>
  <si>
    <t>Cedente</t>
  </si>
  <si>
    <t>9.</t>
  </si>
  <si>
    <t>Inadimplência</t>
  </si>
  <si>
    <t>Total de contratos inadimplentes</t>
  </si>
  <si>
    <t>Inadimplência - Acima de 90 dias</t>
  </si>
  <si>
    <t>Saldo Vencido</t>
  </si>
  <si>
    <t>Saldo a Vencer</t>
  </si>
  <si>
    <t>Total de contratos inadimplentes Acima 90 dias em atraso</t>
  </si>
  <si>
    <t>Participação da inadimplência acima de90 dias em atraso sobre o saldo devedor da Carteira</t>
  </si>
  <si>
    <t>10.</t>
  </si>
  <si>
    <t>Previsto x Realizado</t>
  </si>
  <si>
    <t>Pago</t>
  </si>
  <si>
    <t>Em aberto</t>
  </si>
  <si>
    <t>11.</t>
  </si>
  <si>
    <t>Razão de Garantia Pós-Chaves (&gt;=120%)</t>
  </si>
  <si>
    <t>DCE Pós-Chaves (valor nominal)</t>
  </si>
  <si>
    <t>Saldo Devedor do CRI Integralizado até o Momento</t>
  </si>
  <si>
    <t>Saldo Futuro a Integralizar no CRI</t>
  </si>
  <si>
    <t>12.</t>
  </si>
  <si>
    <t>Razão de Garantia Pós-Chaves e Estoque (&gt;=140%)</t>
  </si>
  <si>
    <t>ID Pós-Chaves</t>
  </si>
  <si>
    <t>Estoque</t>
  </si>
  <si>
    <t>13.</t>
  </si>
  <si>
    <t>Razão de Garantia 2 (&gt;=110%)</t>
  </si>
  <si>
    <t>Caixa</t>
  </si>
  <si>
    <t>DCE Pré-Chaves</t>
  </si>
  <si>
    <t>Estoque * 1%</t>
  </si>
  <si>
    <t>Dif Meses Hoje ao Término da Obra*</t>
  </si>
  <si>
    <t>Saldo de Obra</t>
  </si>
  <si>
    <t>Custos de Obra do mês seguinte (05/2025)</t>
  </si>
  <si>
    <t>* estamos considerando a data de entrega de obra o mês final do orçamento. Eventual alteração dos gastos previsto ou prorrogação da obra refletirá 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</si>
</sst>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/yyyy;@"/>
    <numFmt numFmtId="166" formatCode="_-&quot;R$&quot;\ * #,##0_-;\-&quot;R$&quot;\ * #,##0_-;_-&quot;R$&quot;\ * &quot;-&quot;??_-;_-@_-"/>
    <numFmt numFmtId="167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theme="2" tint="-0.74999237037263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/>
  </cellStyleXfs>
  <cellXfs count="122">
    <xf numFmtId="0" fontId="0" fillId="0" borderId="0" xfId="0"/>
    <xf numFmtId="0" fontId="1" fillId="0" borderId="0" xfId="4" applyAlignment="1">
      <alignment horizontal="center"/>
    </xf>
    <xf numFmtId="0" fontId="1" fillId="0" borderId="0" xfId="4"/>
    <xf numFmtId="0" fontId="2" fillId="2" borderId="0" xfId="4" applyFont="1" applyFill="1"/>
    <xf numFmtId="14" fontId="2" fillId="2" borderId="0" xfId="3" applyNumberFormat="1" applyFont="1" applyFill="1"/>
    <xf numFmtId="0" fontId="3" fillId="3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/>
    </xf>
    <xf numFmtId="10" fontId="2" fillId="2" borderId="0" xfId="3" applyNumberFormat="1" applyFont="1" applyFill="1"/>
    <xf numFmtId="164" fontId="1" fillId="0" borderId="0" xfId="5" applyAlignment="1">
      <alignment horizontal="center"/>
    </xf>
    <xf numFmtId="164" fontId="4" fillId="0" borderId="0" xfId="5" applyFont="1"/>
    <xf numFmtId="164" fontId="1" fillId="0" borderId="0" xfId="5"/>
    <xf numFmtId="165" fontId="5" fillId="0" borderId="1" xfId="5" applyNumberFormat="1" applyFont="1" applyBorder="1" applyAlignment="1">
      <alignment horizontal="center" vertical="center"/>
    </xf>
    <xf numFmtId="43" fontId="1" fillId="0" borderId="0" xfId="1"/>
    <xf numFmtId="164" fontId="2" fillId="2" borderId="0" xfId="5" applyFont="1" applyFill="1"/>
    <xf numFmtId="165" fontId="5" fillId="0" borderId="0" xfId="5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64" fontId="2" fillId="0" borderId="2" xfId="5" applyFont="1" applyBorder="1" applyAlignment="1">
      <alignment vertical="center"/>
    </xf>
    <xf numFmtId="44" fontId="2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166" fontId="2" fillId="0" borderId="2" xfId="2" applyNumberFormat="1" applyFont="1" applyBorder="1" applyAlignment="1">
      <alignment horizontal="right" vertical="center"/>
    </xf>
    <xf numFmtId="43" fontId="1" fillId="0" borderId="0" xfId="4" applyNumberFormat="1"/>
    <xf numFmtId="166" fontId="7" fillId="0" borderId="2" xfId="2" applyNumberFormat="1" applyFont="1" applyBorder="1" applyAlignment="1">
      <alignment horizontal="right" vertical="center"/>
    </xf>
    <xf numFmtId="43" fontId="8" fillId="0" borderId="0" xfId="4" applyNumberFormat="1" applyFont="1"/>
    <xf numFmtId="14" fontId="2" fillId="2" borderId="0" xfId="4" applyNumberFormat="1" applyFont="1" applyFill="1"/>
    <xf numFmtId="49" fontId="6" fillId="0" borderId="0" xfId="1" applyNumberFormat="1" applyFont="1" applyBorder="1" applyAlignment="1">
      <alignment horizontal="center" vertical="center"/>
    </xf>
    <xf numFmtId="164" fontId="9" fillId="0" borderId="3" xfId="5" applyFont="1" applyBorder="1" applyAlignment="1">
      <alignment vertical="center"/>
    </xf>
    <xf numFmtId="44" fontId="1" fillId="0" borderId="3" xfId="1" applyNumberFormat="1" applyFont="1" applyBorder="1" applyAlignment="1">
      <alignment horizontal="left" vertical="center"/>
    </xf>
    <xf numFmtId="0" fontId="1" fillId="0" borderId="3" xfId="4" applyBorder="1" applyAlignment="1">
      <alignment vertical="center"/>
    </xf>
    <xf numFmtId="166" fontId="9" fillId="0" borderId="3" xfId="2" applyNumberFormat="1" applyFont="1" applyFill="1" applyBorder="1" applyAlignment="1">
      <alignment horizontal="right" vertical="center"/>
    </xf>
    <xf numFmtId="166" fontId="10" fillId="0" borderId="3" xfId="2" applyNumberFormat="1" applyFont="1" applyFill="1" applyBorder="1" applyAlignment="1">
      <alignment horizontal="right" vertical="center"/>
    </xf>
    <xf numFmtId="164" fontId="9" fillId="0" borderId="0" xfId="5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4" fontId="11" fillId="0" borderId="0" xfId="5" applyFont="1" applyAlignment="1">
      <alignment vertical="center"/>
    </xf>
    <xf numFmtId="0" fontId="8" fillId="0" borderId="0" xfId="4" applyFont="1"/>
    <xf numFmtId="1" fontId="2" fillId="0" borderId="2" xfId="1" applyNumberFormat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7" fontId="10" fillId="0" borderId="3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3"/>
    </xf>
    <xf numFmtId="167" fontId="12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/>
    </xf>
    <xf numFmtId="167" fontId="9" fillId="5" borderId="0" xfId="1" applyNumberFormat="1" applyFont="1" applyFill="1" applyBorder="1" applyAlignment="1">
      <alignment horizontal="right" vertical="center"/>
    </xf>
    <xf numFmtId="167" fontId="10" fillId="5" borderId="0" xfId="1" applyNumberFormat="1" applyFont="1" applyFill="1" applyBorder="1" applyAlignment="1">
      <alignment horizontal="right" vertical="center"/>
    </xf>
    <xf numFmtId="0" fontId="1" fillId="0" borderId="0" xfId="4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2" fillId="0" borderId="2" xfId="2" applyNumberFormat="1" applyFont="1" applyBorder="1" applyAlignment="1">
      <alignment horizontal="right" vertical="center"/>
    </xf>
    <xf numFmtId="0" fontId="1" fillId="5" borderId="0" xfId="4" applyFill="1"/>
    <xf numFmtId="0" fontId="7" fillId="0" borderId="2" xfId="2" applyNumberFormat="1" applyFont="1" applyBorder="1" applyAlignment="1">
      <alignment horizontal="right" vertical="center"/>
    </xf>
    <xf numFmtId="0" fontId="8" fillId="5" borderId="0" xfId="4" applyFont="1" applyFill="1"/>
    <xf numFmtId="164" fontId="12" fillId="0" borderId="0" xfId="5" applyFont="1" applyAlignment="1">
      <alignment vertical="center"/>
    </xf>
    <xf numFmtId="1" fontId="1" fillId="0" borderId="0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64" fontId="2" fillId="0" borderId="0" xfId="5" applyFont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44" fontId="2" fillId="0" borderId="2" xfId="1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center"/>
    </xf>
    <xf numFmtId="0" fontId="7" fillId="0" borderId="2" xfId="2" applyNumberFormat="1" applyFont="1" applyFill="1" applyBorder="1" applyAlignment="1">
      <alignment horizontal="right" vertical="center"/>
    </xf>
    <xf numFmtId="4" fontId="1" fillId="0" borderId="0" xfId="4" applyNumberFormat="1"/>
    <xf numFmtId="4" fontId="8" fillId="0" borderId="0" xfId="4" applyNumberFormat="1" applyFont="1"/>
    <xf numFmtId="44" fontId="2" fillId="0" borderId="0" xfId="1" applyNumberFormat="1" applyFont="1" applyBorder="1" applyAlignment="1">
      <alignment horizontal="left" vertical="center"/>
    </xf>
    <xf numFmtId="166" fontId="2" fillId="0" borderId="0" xfId="2" applyNumberFormat="1" applyFont="1" applyBorder="1" applyAlignment="1">
      <alignment horizontal="right" vertical="center"/>
    </xf>
    <xf numFmtId="166" fontId="7" fillId="0" borderId="0" xfId="2" applyNumberFormat="1" applyFont="1" applyBorder="1" applyAlignment="1">
      <alignment horizontal="right" vertical="center"/>
    </xf>
    <xf numFmtId="164" fontId="2" fillId="0" borderId="4" xfId="5" applyFont="1" applyBorder="1" applyAlignment="1">
      <alignment vertical="center"/>
    </xf>
    <xf numFmtId="44" fontId="2" fillId="0" borderId="4" xfId="1" applyNumberFormat="1" applyFont="1" applyBorder="1" applyAlignment="1">
      <alignment horizontal="left" vertical="center"/>
    </xf>
    <xf numFmtId="0" fontId="1" fillId="0" borderId="4" xfId="4" applyBorder="1" applyAlignment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164" fontId="9" fillId="0" borderId="5" xfId="5" applyFont="1" applyBorder="1" applyAlignment="1">
      <alignment vertical="center"/>
    </xf>
    <xf numFmtId="44" fontId="9" fillId="0" borderId="5" xfId="1" applyNumberFormat="1" applyFont="1" applyBorder="1" applyAlignment="1">
      <alignment horizontal="left" vertical="center"/>
    </xf>
    <xf numFmtId="0" fontId="9" fillId="0" borderId="5" xfId="4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166" fontId="10" fillId="0" borderId="5" xfId="2" applyNumberFormat="1" applyFont="1" applyBorder="1" applyAlignment="1">
      <alignment vertical="center"/>
    </xf>
    <xf numFmtId="44" fontId="9" fillId="0" borderId="0" xfId="1" applyNumberFormat="1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166" fontId="9" fillId="0" borderId="0" xfId="2" applyNumberFormat="1" applyFont="1" applyBorder="1" applyAlignment="1">
      <alignment vertical="center"/>
    </xf>
    <xf numFmtId="166" fontId="10" fillId="0" borderId="0" xfId="2" applyNumberFormat="1" applyFont="1" applyBorder="1" applyAlignment="1">
      <alignment vertical="center"/>
    </xf>
    <xf numFmtId="4" fontId="15" fillId="0" borderId="0" xfId="2" applyNumberFormat="1" applyFont="1" applyFill="1" applyBorder="1" applyAlignment="1"/>
    <xf numFmtId="4" fontId="8" fillId="0" borderId="0" xfId="2" applyNumberFormat="1" applyFont="1" applyFill="1" applyBorder="1" applyAlignment="1"/>
    <xf numFmtId="166" fontId="2" fillId="5" borderId="2" xfId="2" applyNumberFormat="1" applyFont="1" applyFill="1" applyBorder="1" applyAlignment="1">
      <alignment horizontal="right" vertical="center"/>
    </xf>
    <xf numFmtId="166" fontId="7" fillId="5" borderId="2" xfId="2" applyNumberFormat="1" applyFont="1" applyFill="1" applyBorder="1" applyAlignment="1">
      <alignment horizontal="right" vertical="center"/>
    </xf>
    <xf numFmtId="164" fontId="8" fillId="0" borderId="0" xfId="5" applyFont="1"/>
    <xf numFmtId="167" fontId="9" fillId="0" borderId="0" xfId="1" applyNumberFormat="1" applyFont="1" applyFill="1" applyBorder="1" applyAlignment="1">
      <alignment horizontal="right" vertical="center"/>
    </xf>
    <xf numFmtId="164" fontId="0" fillId="0" borderId="0" xfId="5" applyFont="1"/>
    <xf numFmtId="167" fontId="10" fillId="0" borderId="0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2"/>
    </xf>
    <xf numFmtId="166" fontId="9" fillId="0" borderId="0" xfId="2" applyNumberFormat="1" applyFont="1" applyBorder="1" applyAlignment="1">
      <alignment horizontal="right" vertical="center"/>
    </xf>
    <xf numFmtId="166" fontId="10" fillId="0" borderId="0" xfId="2" applyNumberFormat="1" applyFont="1" applyBorder="1" applyAlignment="1">
      <alignment horizontal="right" vertical="center"/>
    </xf>
    <xf numFmtId="9" fontId="9" fillId="5" borderId="0" xfId="3" applyFont="1" applyFill="1" applyBorder="1" applyAlignment="1">
      <alignment horizontal="right" vertical="center"/>
    </xf>
    <xf numFmtId="9" fontId="10" fillId="5" borderId="0" xfId="3" applyFont="1" applyFill="1" applyBorder="1" applyAlignment="1">
      <alignment horizontal="right" vertical="center"/>
    </xf>
    <xf numFmtId="10" fontId="2" fillId="0" borderId="2" xfId="3" applyNumberFormat="1" applyFont="1" applyBorder="1" applyAlignment="1">
      <alignment horizontal="right" vertical="center"/>
    </xf>
    <xf numFmtId="43" fontId="1" fillId="0" borderId="0" xfId="1" applyFont="1"/>
    <xf numFmtId="10" fontId="7" fillId="0" borderId="2" xfId="3" applyNumberFormat="1" applyFont="1" applyBorder="1" applyAlignment="1">
      <alignment horizontal="right" vertical="center"/>
    </xf>
    <xf numFmtId="43" fontId="8" fillId="0" borderId="0" xfId="1" applyFont="1"/>
    <xf numFmtId="49" fontId="14" fillId="0" borderId="0" xfId="1" applyNumberFormat="1" applyFont="1" applyFill="1" applyBorder="1" applyAlignment="1">
      <alignment horizontal="center" vertical="center"/>
    </xf>
    <xf numFmtId="44" fontId="1" fillId="0" borderId="0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9" fontId="2" fillId="0" borderId="2" xfId="3" applyFont="1" applyBorder="1" applyAlignment="1">
      <alignment horizontal="right" vertical="center"/>
    </xf>
    <xf numFmtId="166" fontId="8" fillId="0" borderId="0" xfId="4" applyNumberFormat="1" applyFont="1"/>
    <xf numFmtId="0" fontId="9" fillId="0" borderId="0" xfId="4" applyFont="1"/>
    <xf numFmtId="0" fontId="10" fillId="0" borderId="0" xfId="4" applyFont="1"/>
    <xf numFmtId="6" fontId="10" fillId="0" borderId="0" xfId="2" applyNumberFormat="1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horizontal="right" vertical="center"/>
    </xf>
    <xf numFmtId="166" fontId="10" fillId="0" borderId="0" xfId="4" applyNumberFormat="1" applyFont="1"/>
    <xf numFmtId="0" fontId="7" fillId="0" borderId="2" xfId="3" applyNumberFormat="1" applyFont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/>
    </xf>
    <xf numFmtId="1" fontId="10" fillId="0" borderId="0" xfId="2" applyNumberFormat="1" applyFont="1" applyFill="1" applyBorder="1" applyAlignment="1">
      <alignment horizontal="right" vertical="center"/>
    </xf>
    <xf numFmtId="6" fontId="8" fillId="0" borderId="0" xfId="4" applyNumberFormat="1" applyFont="1"/>
    <xf numFmtId="44" fontId="1" fillId="0" borderId="0" xfId="4" applyNumberFormat="1"/>
    <xf numFmtId="0" fontId="12" fillId="0" borderId="0" xfId="4" applyFont="1"/>
    <xf numFmtId="44" fontId="16" fillId="0" borderId="0" xfId="4" applyNumberFormat="1" applyFont="1" applyAlignment="1">
      <alignment horizontal="right"/>
    </xf>
    <xf numFmtId="44" fontId="8" fillId="0" borderId="0" xfId="4" applyNumberFormat="1" applyFont="1"/>
    <xf numFmtId="0" fontId="3" fillId="6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vertical="center"/>
    </xf>
    <xf numFmtId="0" fontId="1" fillId="4" borderId="0" xfId="4" applyFill="1"/>
    <xf numFmtId="9" fontId="1" fillId="0" borderId="0" xfId="3"/>
    <xf numFmtId="0" fontId="1" fillId="6" borderId="0" xfId="4" applyFill="1" applyAlignment="1">
      <alignment horizontal="center"/>
    </xf>
    <xf numFmtId="0" fontId="1" fillId="6" borderId="0" xfId="4" applyFill="1"/>
  </cellXfs>
  <cellStyles count="6">
    <cellStyle name="Moeda" xfId="2" builtinId="4"/>
    <cellStyle name="Normal" xfId="0" builtinId="0"/>
    <cellStyle name="Normal 2" xfId="5" xr:uid="{8DB2EF11-5975-4A48-9A7B-BAAAFD26E83D}"/>
    <cellStyle name="Normal 2 2" xfId="4" xr:uid="{CD773247-7F76-4D59-AB61-C65DE5D04C3C}"/>
    <cellStyle name="Porcentagem" xfId="3" builtinId="5"/>
    <cellStyle name="Vírgula" xfId="1" builtinId="3"/>
  </cellStyles>
  <dxfs count="10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54555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AFCB77-BDC1-4A55-9774-7137B74EB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279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92655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8BB5D2C-3293-491B-829F-556F8AA9A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6603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</xdr:colOff>
      <xdr:row>0</xdr:row>
      <xdr:rowOff>698659</xdr:rowOff>
    </xdr:from>
    <xdr:to>
      <xdr:col>3</xdr:col>
      <xdr:colOff>647553</xdr:colOff>
      <xdr:row>0</xdr:row>
      <xdr:rowOff>993934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2545312-A5F8-40DD-BD21-1E225A0AC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" y="698659"/>
          <a:ext cx="2490641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811530</xdr:colOff>
      <xdr:row>87</xdr:row>
      <xdr:rowOff>45720</xdr:rowOff>
    </xdr:from>
    <xdr:to>
      <xdr:col>6</xdr:col>
      <xdr:colOff>396775</xdr:colOff>
      <xdr:row>105</xdr:row>
      <xdr:rowOff>38385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1BE10D5-3332-4476-B494-0A2C9E156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0" y="17701260"/>
          <a:ext cx="6168925" cy="3284505"/>
        </a:xfrm>
        <a:prstGeom prst="rect">
          <a:avLst/>
        </a:prstGeom>
      </xdr:spPr>
    </xdr:pic>
    <xdr:clientData/>
  </xdr:twoCellAnchor>
  <xdr:twoCellAnchor editAs="oneCell">
    <xdr:from>
      <xdr:col>2</xdr:col>
      <xdr:colOff>996315</xdr:colOff>
      <xdr:row>106</xdr:row>
      <xdr:rowOff>51435</xdr:rowOff>
    </xdr:from>
    <xdr:to>
      <xdr:col>6</xdr:col>
      <xdr:colOff>436767</xdr:colOff>
      <xdr:row>126</xdr:row>
      <xdr:rowOff>17459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F5D6BF-EDAB-45F3-B114-379EA0B7A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3035" y="21181695"/>
          <a:ext cx="6024132" cy="362362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126</xdr:row>
      <xdr:rowOff>70485</xdr:rowOff>
    </xdr:from>
    <xdr:to>
      <xdr:col>6</xdr:col>
      <xdr:colOff>288099</xdr:colOff>
      <xdr:row>135</xdr:row>
      <xdr:rowOff>135404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5CCA955-148F-4669-A640-21CB166A9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73605" y="24858345"/>
          <a:ext cx="5124894" cy="1710839"/>
        </a:xfrm>
        <a:prstGeom prst="rect">
          <a:avLst/>
        </a:prstGeom>
      </xdr:spPr>
    </xdr:pic>
    <xdr:clientData/>
  </xdr:twoCellAnchor>
  <xdr:twoCellAnchor editAs="oneCell">
    <xdr:from>
      <xdr:col>2</xdr:col>
      <xdr:colOff>905114</xdr:colOff>
      <xdr:row>136</xdr:row>
      <xdr:rowOff>121038</xdr:rowOff>
    </xdr:from>
    <xdr:to>
      <xdr:col>6</xdr:col>
      <xdr:colOff>325157</xdr:colOff>
      <xdr:row>166</xdr:row>
      <xdr:rowOff>173606</xdr:rowOff>
    </xdr:to>
    <xdr:pic>
      <xdr:nvPicPr>
        <xdr:cNvPr id="8" name="Imagem 11">
          <a:extLst>
            <a:ext uri="{FF2B5EF4-FFF2-40B4-BE49-F238E27FC236}">
              <a16:creationId xmlns:a16="http://schemas.microsoft.com/office/drawing/2014/main" id="{1343A7C3-FE38-4012-8837-DE3228C0B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1834" y="26737698"/>
          <a:ext cx="6003723" cy="553896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56</xdr:row>
      <xdr:rowOff>34290</xdr:rowOff>
    </xdr:from>
    <xdr:to>
      <xdr:col>3</xdr:col>
      <xdr:colOff>644228</xdr:colOff>
      <xdr:row>59</xdr:row>
      <xdr:rowOff>133918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6A912830-6FA0-4374-871D-8518B4C6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840" y="11913870"/>
          <a:ext cx="2473028" cy="64826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66</xdr:row>
      <xdr:rowOff>171450</xdr:rowOff>
    </xdr:from>
    <xdr:to>
      <xdr:col>4</xdr:col>
      <xdr:colOff>854033</xdr:colOff>
      <xdr:row>71</xdr:row>
      <xdr:rowOff>8450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C4A503-908B-40F4-90ED-A505199C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1470" y="13895070"/>
          <a:ext cx="4241123" cy="6904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81</xdr:row>
      <xdr:rowOff>1</xdr:rowOff>
    </xdr:from>
    <xdr:to>
      <xdr:col>4</xdr:col>
      <xdr:colOff>400050</xdr:colOff>
      <xdr:row>84</xdr:row>
      <xdr:rowOff>171881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6940DC9-1150-4EBB-903E-F62176147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6720" y="16421101"/>
          <a:ext cx="3691890" cy="720520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0</xdr:row>
      <xdr:rowOff>247651</xdr:rowOff>
    </xdr:from>
    <xdr:to>
      <xdr:col>5</xdr:col>
      <xdr:colOff>744855</xdr:colOff>
      <xdr:row>0</xdr:row>
      <xdr:rowOff>1355962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3E252F1F-8BBD-4A7A-856D-22BD1698F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4260" y="247651"/>
          <a:ext cx="2505075" cy="110831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447674</xdr:colOff>
      <xdr:row>0</xdr:row>
      <xdr:rowOff>85725</xdr:rowOff>
    </xdr:from>
    <xdr:to>
      <xdr:col>6</xdr:col>
      <xdr:colOff>1847849</xdr:colOff>
      <xdr:row>0</xdr:row>
      <xdr:rowOff>1485900</xdr:rowOff>
    </xdr:to>
    <xdr:pic>
      <xdr:nvPicPr>
        <xdr:cNvPr id="13" name="Imagem 12" descr="Telar Desenvolvimento Imobiliário">
          <a:extLst>
            <a:ext uri="{FF2B5EF4-FFF2-40B4-BE49-F238E27FC236}">
              <a16:creationId xmlns:a16="http://schemas.microsoft.com/office/drawing/2014/main" id="{6D8D60BD-7F48-4618-A6DA-27DE59A2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4" y="85725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onsolidado%20Mensal%20NEO%20-%20C290%20-%20Abril%202025%20(1)%20(2).xlsx" TargetMode="External"/><Relationship Id="rId1" Type="http://schemas.openxmlformats.org/officeDocument/2006/relationships/externalLinkPath" Target="file:///C:\Users\Karen%20Silva\Downloads\Consolidado%20Mensal%20NEO%20-%20C290%20-%20Abril%202025%20(1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Planilha1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/>
      <sheetData sheetId="3">
        <row r="11">
          <cell r="BF11">
            <v>-1449758.22</v>
          </cell>
          <cell r="BG11">
            <v>-2089348.18</v>
          </cell>
          <cell r="BH11">
            <v>-2228664.3849999998</v>
          </cell>
          <cell r="BI11">
            <v>-1290589.22</v>
          </cell>
          <cell r="BJ11">
            <v>-2521433.3211999997</v>
          </cell>
          <cell r="BK11">
            <v>-1864588.3134310101</v>
          </cell>
        </row>
      </sheetData>
      <sheetData sheetId="4">
        <row r="8">
          <cell r="M8">
            <v>1273836.73</v>
          </cell>
        </row>
        <row r="9">
          <cell r="L9" t="str">
            <v>Data Ref. (Movim.)</v>
          </cell>
          <cell r="M9" t="str">
            <v>Valor Pago</v>
          </cell>
          <cell r="O9" t="str">
            <v>Período</v>
          </cell>
          <cell r="Q9" t="str">
            <v>Conta Corrente</v>
          </cell>
        </row>
        <row r="10">
          <cell r="L10">
            <v>45748</v>
          </cell>
          <cell r="M10">
            <v>600000</v>
          </cell>
          <cell r="O10" t="str">
            <v>Atraso</v>
          </cell>
          <cell r="Q10" t="str">
            <v>Patrimônio Separado</v>
          </cell>
        </row>
        <row r="11">
          <cell r="L11">
            <v>45748</v>
          </cell>
          <cell r="M11">
            <v>3229.03</v>
          </cell>
          <cell r="O11" t="str">
            <v>Mês</v>
          </cell>
          <cell r="Q11" t="str">
            <v>Patrimônio Separado</v>
          </cell>
        </row>
        <row r="12">
          <cell r="L12">
            <v>45748</v>
          </cell>
          <cell r="M12">
            <v>514.21</v>
          </cell>
          <cell r="O12" t="str">
            <v>Mês</v>
          </cell>
          <cell r="Q12" t="str">
            <v>Patrimônio Separado</v>
          </cell>
        </row>
        <row r="13">
          <cell r="L13">
            <v>45748</v>
          </cell>
          <cell r="M13">
            <v>3085.23</v>
          </cell>
          <cell r="O13" t="str">
            <v>Mês</v>
          </cell>
          <cell r="Q13" t="str">
            <v>Patrimônio Separado</v>
          </cell>
        </row>
        <row r="14">
          <cell r="L14">
            <v>45748</v>
          </cell>
          <cell r="M14">
            <v>2222.09</v>
          </cell>
          <cell r="O14" t="str">
            <v>Mês</v>
          </cell>
          <cell r="Q14" t="str">
            <v>Patrimônio Separado</v>
          </cell>
        </row>
        <row r="15">
          <cell r="L15">
            <v>45748</v>
          </cell>
          <cell r="M15">
            <v>5020</v>
          </cell>
          <cell r="O15" t="str">
            <v>Mês</v>
          </cell>
          <cell r="Q15" t="str">
            <v>Patrimônio Separado</v>
          </cell>
        </row>
        <row r="16">
          <cell r="L16">
            <v>45748</v>
          </cell>
          <cell r="M16">
            <v>2068.75</v>
          </cell>
          <cell r="O16" t="str">
            <v>Mês</v>
          </cell>
          <cell r="Q16" t="str">
            <v>Patrimônio Separado</v>
          </cell>
        </row>
        <row r="17">
          <cell r="L17">
            <v>45748</v>
          </cell>
          <cell r="M17">
            <v>2999.9</v>
          </cell>
          <cell r="O17" t="str">
            <v>Mês</v>
          </cell>
          <cell r="Q17" t="str">
            <v>Patrimônio Separado</v>
          </cell>
        </row>
        <row r="18">
          <cell r="L18">
            <v>45748</v>
          </cell>
          <cell r="M18">
            <v>2555.8000000000002</v>
          </cell>
          <cell r="O18" t="str">
            <v>Mês</v>
          </cell>
          <cell r="Q18" t="str">
            <v>Patrimônio Separado</v>
          </cell>
        </row>
        <row r="19">
          <cell r="L19">
            <v>45748</v>
          </cell>
          <cell r="M19">
            <v>300000</v>
          </cell>
          <cell r="O19" t="str">
            <v>Mês</v>
          </cell>
          <cell r="Q19" t="str">
            <v>Patrimônio Separado</v>
          </cell>
        </row>
        <row r="20">
          <cell r="L20">
            <v>45748</v>
          </cell>
          <cell r="M20">
            <v>56303.75</v>
          </cell>
          <cell r="O20" t="str">
            <v>Antecipação</v>
          </cell>
          <cell r="Q20" t="str">
            <v>Patrimônio Separado</v>
          </cell>
        </row>
        <row r="21">
          <cell r="L21">
            <v>45748</v>
          </cell>
          <cell r="M21">
            <v>295837.96999999997</v>
          </cell>
          <cell r="O21" t="str">
            <v>Antecipação</v>
          </cell>
          <cell r="Q21" t="str">
            <v>Patrimônio Separado</v>
          </cell>
        </row>
      </sheetData>
      <sheetData sheetId="5"/>
      <sheetData sheetId="6"/>
      <sheetData sheetId="7">
        <row r="2">
          <cell r="H2">
            <v>45777</v>
          </cell>
        </row>
        <row r="3">
          <cell r="H3">
            <v>0.1125</v>
          </cell>
        </row>
        <row r="4">
          <cell r="H4">
            <v>8.9237257287477778E-3</v>
          </cell>
        </row>
        <row r="5">
          <cell r="H5">
            <v>45778</v>
          </cell>
        </row>
        <row r="6">
          <cell r="H6">
            <v>0.05</v>
          </cell>
        </row>
        <row r="7">
          <cell r="H7">
            <v>4.0741237836483535E-3</v>
          </cell>
        </row>
        <row r="9">
          <cell r="H9">
            <v>10880609.829999998</v>
          </cell>
          <cell r="J9">
            <v>10292984.82269888</v>
          </cell>
          <cell r="U9">
            <v>11179660.632788122</v>
          </cell>
        </row>
        <row r="10">
          <cell r="H10" t="str">
            <v>Valor Líquido</v>
          </cell>
          <cell r="J10" t="str">
            <v>VP Taxa Operação</v>
          </cell>
          <cell r="K10" t="str">
            <v>Elegibilidade</v>
          </cell>
          <cell r="L10" t="str">
            <v>Pré ou Pós</v>
          </cell>
          <cell r="M10" t="str">
            <v>ID-Pos Chaves</v>
          </cell>
          <cell r="U10" t="str">
            <v>Valor Corrigido</v>
          </cell>
        </row>
        <row r="11">
          <cell r="H11">
            <v>1123.42</v>
          </cell>
          <cell r="J11">
            <v>1123.42</v>
          </cell>
          <cell r="K11" t="str">
            <v>INELEGÍVEL</v>
          </cell>
          <cell r="L11" t="str">
            <v>Pré</v>
          </cell>
          <cell r="M11" t="str">
            <v>Não</v>
          </cell>
          <cell r="U11">
            <v>1123.42</v>
          </cell>
        </row>
        <row r="12">
          <cell r="H12">
            <v>1123.42</v>
          </cell>
          <cell r="J12">
            <v>1123.42</v>
          </cell>
          <cell r="K12" t="str">
            <v>INELEGÍVEL</v>
          </cell>
          <cell r="L12" t="str">
            <v>Pré</v>
          </cell>
          <cell r="M12" t="str">
            <v>Não</v>
          </cell>
          <cell r="U12">
            <v>1123.42</v>
          </cell>
        </row>
        <row r="13">
          <cell r="H13">
            <v>5617.11</v>
          </cell>
          <cell r="J13">
            <v>5617.11</v>
          </cell>
          <cell r="K13" t="str">
            <v>INELEGÍVEL</v>
          </cell>
          <cell r="L13" t="str">
            <v>Pré</v>
          </cell>
          <cell r="M13" t="str">
            <v>Não</v>
          </cell>
          <cell r="U13">
            <v>5617.11</v>
          </cell>
        </row>
        <row r="14">
          <cell r="H14">
            <v>1123.42</v>
          </cell>
          <cell r="J14">
            <v>1123.42</v>
          </cell>
          <cell r="K14" t="str">
            <v>INELEGÍVEL</v>
          </cell>
          <cell r="L14" t="str">
            <v>Pré</v>
          </cell>
          <cell r="M14" t="str">
            <v>Não</v>
          </cell>
          <cell r="U14">
            <v>1123.42</v>
          </cell>
        </row>
        <row r="15">
          <cell r="H15">
            <v>1123.42</v>
          </cell>
          <cell r="J15">
            <v>1123.42</v>
          </cell>
          <cell r="K15" t="str">
            <v>INELEGÍVEL</v>
          </cell>
          <cell r="L15" t="str">
            <v>Pré</v>
          </cell>
          <cell r="M15" t="str">
            <v>Não</v>
          </cell>
          <cell r="U15">
            <v>1123.42</v>
          </cell>
        </row>
        <row r="16">
          <cell r="H16">
            <v>1123.42</v>
          </cell>
          <cell r="J16">
            <v>1123.42</v>
          </cell>
          <cell r="K16" t="str">
            <v>INELEGÍVEL</v>
          </cell>
          <cell r="L16" t="str">
            <v>Pré</v>
          </cell>
          <cell r="M16" t="str">
            <v>Não</v>
          </cell>
          <cell r="U16">
            <v>1123.42</v>
          </cell>
        </row>
        <row r="17">
          <cell r="H17">
            <v>3370.27</v>
          </cell>
          <cell r="J17">
            <v>3370.27</v>
          </cell>
          <cell r="K17" t="str">
            <v>INELEGÍVEL</v>
          </cell>
          <cell r="L17" t="str">
            <v>Pré</v>
          </cell>
          <cell r="M17" t="str">
            <v>Não</v>
          </cell>
          <cell r="U17">
            <v>3370.27</v>
          </cell>
        </row>
        <row r="18">
          <cell r="H18">
            <v>27726.05</v>
          </cell>
          <cell r="J18">
            <v>27726.05</v>
          </cell>
          <cell r="K18" t="str">
            <v>INELEGÍVEL</v>
          </cell>
          <cell r="L18" t="str">
            <v>Pré</v>
          </cell>
          <cell r="M18" t="str">
            <v>Não</v>
          </cell>
          <cell r="U18">
            <v>27726.05</v>
          </cell>
        </row>
        <row r="19">
          <cell r="H19">
            <v>3370.27</v>
          </cell>
          <cell r="J19">
            <v>3370.27</v>
          </cell>
          <cell r="K19" t="str">
            <v>INELEGÍVEL</v>
          </cell>
          <cell r="L19" t="str">
            <v>Pré</v>
          </cell>
          <cell r="M19" t="str">
            <v>Não</v>
          </cell>
          <cell r="U19">
            <v>3370.27</v>
          </cell>
        </row>
        <row r="20">
          <cell r="H20">
            <v>3370.27</v>
          </cell>
          <cell r="J20">
            <v>3370.27</v>
          </cell>
          <cell r="K20" t="str">
            <v>INELEGÍVEL</v>
          </cell>
          <cell r="L20" t="str">
            <v>Pré</v>
          </cell>
          <cell r="M20" t="str">
            <v>Não</v>
          </cell>
          <cell r="U20">
            <v>3370.27</v>
          </cell>
        </row>
        <row r="21">
          <cell r="H21">
            <v>3310.27</v>
          </cell>
          <cell r="J21">
            <v>3310.27</v>
          </cell>
          <cell r="K21" t="str">
            <v>INELEGÍVEL</v>
          </cell>
          <cell r="L21" t="str">
            <v>Pré</v>
          </cell>
          <cell r="M21" t="str">
            <v>Não</v>
          </cell>
          <cell r="U21">
            <v>3310.27</v>
          </cell>
        </row>
        <row r="22">
          <cell r="H22">
            <v>3370.27</v>
          </cell>
          <cell r="J22">
            <v>3370.27</v>
          </cell>
          <cell r="K22" t="str">
            <v>INELEGÍVEL</v>
          </cell>
          <cell r="L22" t="str">
            <v>Pré</v>
          </cell>
          <cell r="M22" t="str">
            <v>Não</v>
          </cell>
          <cell r="U22">
            <v>3370.27</v>
          </cell>
        </row>
        <row r="23">
          <cell r="H23">
            <v>2177.63</v>
          </cell>
          <cell r="J23">
            <v>2177.63</v>
          </cell>
          <cell r="K23" t="str">
            <v>INELEGÍVEL</v>
          </cell>
          <cell r="L23" t="str">
            <v>Pré</v>
          </cell>
          <cell r="M23" t="str">
            <v>Não</v>
          </cell>
          <cell r="U23">
            <v>2177.63</v>
          </cell>
        </row>
        <row r="24">
          <cell r="H24">
            <v>2281.02</v>
          </cell>
          <cell r="J24">
            <v>2281.02</v>
          </cell>
          <cell r="K24" t="str">
            <v>INELEGÍVEL</v>
          </cell>
          <cell r="L24" t="str">
            <v>Pré</v>
          </cell>
          <cell r="M24" t="str">
            <v>Não</v>
          </cell>
          <cell r="U24">
            <v>2281.02</v>
          </cell>
        </row>
        <row r="25">
          <cell r="H25">
            <v>3370.27</v>
          </cell>
          <cell r="J25">
            <v>3370.27</v>
          </cell>
          <cell r="K25" t="str">
            <v>INELEGÍVEL</v>
          </cell>
          <cell r="L25" t="str">
            <v>Pré</v>
          </cell>
          <cell r="M25" t="str">
            <v>Não</v>
          </cell>
          <cell r="U25">
            <v>3370.27</v>
          </cell>
        </row>
        <row r="26">
          <cell r="H26">
            <v>2177.63</v>
          </cell>
          <cell r="J26">
            <v>2177.63</v>
          </cell>
          <cell r="K26" t="str">
            <v>INELEGÍVEL</v>
          </cell>
          <cell r="L26" t="str">
            <v>Pré</v>
          </cell>
          <cell r="M26" t="str">
            <v>Não</v>
          </cell>
          <cell r="U26">
            <v>2177.63</v>
          </cell>
        </row>
        <row r="27">
          <cell r="H27">
            <v>3370.27</v>
          </cell>
          <cell r="J27">
            <v>3370.27</v>
          </cell>
          <cell r="K27" t="str">
            <v>INELEGÍVEL</v>
          </cell>
          <cell r="L27" t="str">
            <v>Pré</v>
          </cell>
          <cell r="M27" t="str">
            <v>Não</v>
          </cell>
          <cell r="U27">
            <v>3370.27</v>
          </cell>
        </row>
        <row r="28">
          <cell r="H28">
            <v>2177.63</v>
          </cell>
          <cell r="J28">
            <v>2177.63</v>
          </cell>
          <cell r="K28" t="str">
            <v>INELEGÍVEL</v>
          </cell>
          <cell r="L28" t="str">
            <v>Pré</v>
          </cell>
          <cell r="M28" t="str">
            <v>Não</v>
          </cell>
          <cell r="U28">
            <v>2177.63</v>
          </cell>
        </row>
        <row r="29">
          <cell r="H29">
            <v>3370.27</v>
          </cell>
          <cell r="J29">
            <v>3370.27</v>
          </cell>
          <cell r="K29" t="str">
            <v>INELEGÍVEL</v>
          </cell>
          <cell r="L29" t="str">
            <v>Pré</v>
          </cell>
          <cell r="M29" t="str">
            <v>Não</v>
          </cell>
          <cell r="U29">
            <v>3370.27</v>
          </cell>
        </row>
        <row r="30">
          <cell r="H30">
            <v>2177.63</v>
          </cell>
          <cell r="J30">
            <v>2177.63</v>
          </cell>
          <cell r="K30" t="str">
            <v>INELEGÍVEL</v>
          </cell>
          <cell r="L30" t="str">
            <v>Pré</v>
          </cell>
          <cell r="M30" t="str">
            <v>Não</v>
          </cell>
          <cell r="U30">
            <v>2177.63</v>
          </cell>
        </row>
        <row r="31">
          <cell r="H31">
            <v>3370.27</v>
          </cell>
          <cell r="J31">
            <v>3370.27</v>
          </cell>
          <cell r="K31" t="str">
            <v>INELEGÍVEL</v>
          </cell>
          <cell r="L31" t="str">
            <v>Pré</v>
          </cell>
          <cell r="M31" t="str">
            <v>Não</v>
          </cell>
          <cell r="U31">
            <v>3370.27</v>
          </cell>
        </row>
        <row r="32">
          <cell r="H32">
            <v>2101.77</v>
          </cell>
          <cell r="J32">
            <v>2101.77</v>
          </cell>
          <cell r="K32" t="str">
            <v>INELEGÍVEL</v>
          </cell>
          <cell r="L32" t="str">
            <v>Pré</v>
          </cell>
          <cell r="M32" t="str">
            <v>Não</v>
          </cell>
          <cell r="U32">
            <v>2101.77</v>
          </cell>
        </row>
        <row r="33">
          <cell r="H33">
            <v>2177.63</v>
          </cell>
          <cell r="J33">
            <v>2177.63</v>
          </cell>
          <cell r="K33" t="str">
            <v>INELEGÍVEL</v>
          </cell>
          <cell r="L33" t="str">
            <v>Pré</v>
          </cell>
          <cell r="M33" t="str">
            <v>Não</v>
          </cell>
          <cell r="U33">
            <v>2177.63</v>
          </cell>
        </row>
        <row r="34">
          <cell r="H34">
            <v>3370.27</v>
          </cell>
          <cell r="J34">
            <v>3370.27</v>
          </cell>
          <cell r="K34" t="str">
            <v>INELEGÍVEL</v>
          </cell>
          <cell r="L34" t="str">
            <v>Pré</v>
          </cell>
          <cell r="M34" t="str">
            <v>Não</v>
          </cell>
          <cell r="U34">
            <v>3370.27</v>
          </cell>
        </row>
        <row r="35">
          <cell r="H35">
            <v>11234.22</v>
          </cell>
          <cell r="J35">
            <v>11234.22</v>
          </cell>
          <cell r="K35" t="str">
            <v>INELEGÍVEL</v>
          </cell>
          <cell r="L35" t="str">
            <v>Pré</v>
          </cell>
          <cell r="M35" t="str">
            <v>Não</v>
          </cell>
          <cell r="U35">
            <v>11234.22</v>
          </cell>
        </row>
        <row r="36">
          <cell r="H36">
            <v>2101.77</v>
          </cell>
          <cell r="J36">
            <v>2101.77</v>
          </cell>
          <cell r="K36" t="str">
            <v>INELEGÍVEL</v>
          </cell>
          <cell r="L36" t="str">
            <v>Pré</v>
          </cell>
          <cell r="M36" t="str">
            <v>Não</v>
          </cell>
          <cell r="U36">
            <v>2101.77</v>
          </cell>
        </row>
        <row r="37">
          <cell r="H37">
            <v>43592.27</v>
          </cell>
          <cell r="J37">
            <v>43592.27</v>
          </cell>
          <cell r="K37" t="str">
            <v>INELEGÍVEL</v>
          </cell>
          <cell r="L37" t="str">
            <v>Pré</v>
          </cell>
          <cell r="M37" t="str">
            <v>Não</v>
          </cell>
          <cell r="U37">
            <v>43592.27</v>
          </cell>
        </row>
        <row r="38">
          <cell r="H38">
            <v>2177.63</v>
          </cell>
          <cell r="J38">
            <v>2177.63</v>
          </cell>
          <cell r="K38" t="str">
            <v>INELEGÍVEL</v>
          </cell>
          <cell r="L38" t="str">
            <v>Pré</v>
          </cell>
          <cell r="M38" t="str">
            <v>Não</v>
          </cell>
          <cell r="U38">
            <v>2177.63</v>
          </cell>
        </row>
        <row r="39">
          <cell r="H39">
            <v>3370.27</v>
          </cell>
          <cell r="J39">
            <v>3370.27</v>
          </cell>
          <cell r="K39" t="str">
            <v>INELEGÍVEL</v>
          </cell>
          <cell r="L39" t="str">
            <v>Pré</v>
          </cell>
          <cell r="M39" t="str">
            <v>Não</v>
          </cell>
          <cell r="U39">
            <v>3370.27</v>
          </cell>
        </row>
        <row r="40">
          <cell r="H40">
            <v>2101.77</v>
          </cell>
          <cell r="J40">
            <v>2101.77</v>
          </cell>
          <cell r="K40" t="str">
            <v>INELEGÍVEL</v>
          </cell>
          <cell r="L40" t="str">
            <v>Pré</v>
          </cell>
          <cell r="M40" t="str">
            <v>Não</v>
          </cell>
          <cell r="U40">
            <v>2101.77</v>
          </cell>
        </row>
        <row r="41">
          <cell r="H41">
            <v>2177.63</v>
          </cell>
          <cell r="J41">
            <v>2177.63</v>
          </cell>
          <cell r="K41" t="str">
            <v>INELEGÍVEL</v>
          </cell>
          <cell r="L41" t="str">
            <v>Pré</v>
          </cell>
          <cell r="M41" t="str">
            <v>Não</v>
          </cell>
          <cell r="U41">
            <v>2177.63</v>
          </cell>
        </row>
        <row r="42">
          <cell r="H42">
            <v>2281.02</v>
          </cell>
          <cell r="J42">
            <v>2281.02</v>
          </cell>
          <cell r="K42" t="str">
            <v>INELEGÍVEL</v>
          </cell>
          <cell r="L42" t="str">
            <v>Pré</v>
          </cell>
          <cell r="M42" t="str">
            <v>Não</v>
          </cell>
          <cell r="U42">
            <v>2281.02</v>
          </cell>
        </row>
        <row r="43">
          <cell r="H43">
            <v>3370.27</v>
          </cell>
          <cell r="J43">
            <v>3370.27</v>
          </cell>
          <cell r="K43" t="str">
            <v>INELEGÍVEL</v>
          </cell>
          <cell r="L43" t="str">
            <v>Pré</v>
          </cell>
          <cell r="M43" t="str">
            <v>Não</v>
          </cell>
          <cell r="U43">
            <v>3370.27</v>
          </cell>
        </row>
        <row r="44">
          <cell r="H44">
            <v>2101.77</v>
          </cell>
          <cell r="J44">
            <v>2101.77</v>
          </cell>
          <cell r="K44" t="str">
            <v>INELEGÍVEL</v>
          </cell>
          <cell r="L44" t="str">
            <v>Pré</v>
          </cell>
          <cell r="M44" t="str">
            <v>Não</v>
          </cell>
          <cell r="U44">
            <v>2101.77</v>
          </cell>
        </row>
        <row r="45">
          <cell r="H45">
            <v>2177.63</v>
          </cell>
          <cell r="J45">
            <v>2177.63</v>
          </cell>
          <cell r="K45" t="str">
            <v>INELEGÍVEL</v>
          </cell>
          <cell r="L45" t="str">
            <v>Pré</v>
          </cell>
          <cell r="M45" t="str">
            <v>Não</v>
          </cell>
          <cell r="U45">
            <v>2177.63</v>
          </cell>
        </row>
        <row r="46">
          <cell r="H46">
            <v>2281.02</v>
          </cell>
          <cell r="J46">
            <v>2281.02</v>
          </cell>
          <cell r="K46" t="str">
            <v>INELEGÍVEL</v>
          </cell>
          <cell r="L46" t="str">
            <v>Pré</v>
          </cell>
          <cell r="M46" t="str">
            <v>Não</v>
          </cell>
          <cell r="U46">
            <v>2281.02</v>
          </cell>
        </row>
        <row r="47">
          <cell r="H47">
            <v>3370.27</v>
          </cell>
          <cell r="J47">
            <v>3370.27</v>
          </cell>
          <cell r="K47" t="str">
            <v>INELEGÍVEL</v>
          </cell>
          <cell r="L47" t="str">
            <v>Pré</v>
          </cell>
          <cell r="M47" t="str">
            <v>Não</v>
          </cell>
          <cell r="U47">
            <v>3370.27</v>
          </cell>
        </row>
        <row r="48">
          <cell r="H48">
            <v>2101.77</v>
          </cell>
          <cell r="J48">
            <v>2101.77</v>
          </cell>
          <cell r="K48" t="str">
            <v>INELEGÍVEL</v>
          </cell>
          <cell r="L48" t="str">
            <v>Pré</v>
          </cell>
          <cell r="M48" t="str">
            <v>Não</v>
          </cell>
          <cell r="U48">
            <v>2101.77</v>
          </cell>
        </row>
        <row r="49">
          <cell r="H49">
            <v>54485.97</v>
          </cell>
          <cell r="J49">
            <v>54485.97</v>
          </cell>
          <cell r="K49" t="str">
            <v>INELEGÍVEL</v>
          </cell>
          <cell r="L49" t="str">
            <v>Pré</v>
          </cell>
          <cell r="M49" t="str">
            <v>Não</v>
          </cell>
          <cell r="U49">
            <v>54485.97</v>
          </cell>
        </row>
        <row r="50">
          <cell r="H50">
            <v>3370.27</v>
          </cell>
          <cell r="J50">
            <v>3370.27</v>
          </cell>
          <cell r="K50" t="str">
            <v>INELEGÍVEL</v>
          </cell>
          <cell r="L50" t="str">
            <v>Pré</v>
          </cell>
          <cell r="M50" t="str">
            <v>Não</v>
          </cell>
          <cell r="U50">
            <v>3370.27</v>
          </cell>
        </row>
        <row r="51">
          <cell r="H51">
            <v>2161.37</v>
          </cell>
          <cell r="J51">
            <v>2161.37</v>
          </cell>
          <cell r="K51" t="str">
            <v>ELEGÍVEL</v>
          </cell>
          <cell r="L51" t="str">
            <v>Pré</v>
          </cell>
          <cell r="M51" t="str">
            <v>Não</v>
          </cell>
          <cell r="U51">
            <v>2161.37</v>
          </cell>
        </row>
        <row r="52">
          <cell r="H52">
            <v>3310.27</v>
          </cell>
          <cell r="J52">
            <v>3300.4815284177198</v>
          </cell>
          <cell r="K52" t="str">
            <v>INELEGÍVEL</v>
          </cell>
          <cell r="L52" t="str">
            <v>Pós</v>
          </cell>
          <cell r="M52" t="str">
            <v>Sim</v>
          </cell>
          <cell r="U52">
            <v>3323.7564497372978</v>
          </cell>
        </row>
        <row r="53">
          <cell r="H53">
            <v>516.21</v>
          </cell>
          <cell r="J53">
            <v>514.68356653218962</v>
          </cell>
          <cell r="K53" t="str">
            <v>Elegível</v>
          </cell>
          <cell r="L53" t="str">
            <v>Pós</v>
          </cell>
          <cell r="M53" t="str">
            <v>Não</v>
          </cell>
          <cell r="U53">
            <v>518.31310343835719</v>
          </cell>
        </row>
        <row r="54">
          <cell r="H54">
            <v>2230.7600000000002</v>
          </cell>
          <cell r="J54">
            <v>2224.1636405287522</v>
          </cell>
          <cell r="K54" t="str">
            <v>Elegível</v>
          </cell>
          <cell r="L54" t="str">
            <v>Pós</v>
          </cell>
          <cell r="M54" t="str">
            <v>Não</v>
          </cell>
          <cell r="U54">
            <v>2239.8483923716117</v>
          </cell>
        </row>
        <row r="55">
          <cell r="H55">
            <v>5039.58</v>
          </cell>
          <cell r="J55">
            <v>5024.6779570800481</v>
          </cell>
          <cell r="K55" t="str">
            <v>Elegível</v>
          </cell>
          <cell r="L55" t="str">
            <v>Pós</v>
          </cell>
          <cell r="M55" t="str">
            <v>Não</v>
          </cell>
          <cell r="U55">
            <v>5060.1118727375988</v>
          </cell>
        </row>
        <row r="56">
          <cell r="H56">
            <v>2983.7</v>
          </cell>
          <cell r="J56">
            <v>2974.8771962226492</v>
          </cell>
          <cell r="K56" t="str">
            <v>Elegível</v>
          </cell>
          <cell r="L56" t="str">
            <v>Pós</v>
          </cell>
          <cell r="M56" t="str">
            <v>Não</v>
          </cell>
          <cell r="U56">
            <v>2995.8559631332714</v>
          </cell>
        </row>
        <row r="57">
          <cell r="H57">
            <v>3011.6</v>
          </cell>
          <cell r="J57">
            <v>3002.6946958957442</v>
          </cell>
          <cell r="K57" t="str">
            <v>Elegível</v>
          </cell>
          <cell r="L57" t="str">
            <v>Pós</v>
          </cell>
          <cell r="M57" t="str">
            <v>Não</v>
          </cell>
          <cell r="U57">
            <v>3023.8696311868352</v>
          </cell>
        </row>
        <row r="58">
          <cell r="H58">
            <v>7777.12</v>
          </cell>
          <cell r="J58">
            <v>7682.2886885522139</v>
          </cell>
          <cell r="K58" t="str">
            <v>Elegível</v>
          </cell>
          <cell r="L58" t="str">
            <v>Pós</v>
          </cell>
          <cell r="M58" t="str">
            <v>Não</v>
          </cell>
          <cell r="U58">
            <v>7840.6189875271621</v>
          </cell>
        </row>
        <row r="59">
          <cell r="H59">
            <v>5039.58</v>
          </cell>
          <cell r="J59">
            <v>4978.1292340935934</v>
          </cell>
          <cell r="K59" t="str">
            <v>Elegível</v>
          </cell>
          <cell r="L59" t="str">
            <v>Pós</v>
          </cell>
          <cell r="M59" t="str">
            <v>Não</v>
          </cell>
          <cell r="U59">
            <v>5080.7273948662405</v>
          </cell>
        </row>
        <row r="60">
          <cell r="H60">
            <v>2983.7</v>
          </cell>
          <cell r="J60">
            <v>2947.3178708870687</v>
          </cell>
          <cell r="K60" t="str">
            <v>Elegível</v>
          </cell>
          <cell r="L60" t="str">
            <v>Pós</v>
          </cell>
          <cell r="M60" t="str">
            <v>Não</v>
          </cell>
          <cell r="U60">
            <v>3008.0614511650574</v>
          </cell>
        </row>
        <row r="61">
          <cell r="H61">
            <v>3011.6</v>
          </cell>
          <cell r="J61">
            <v>2974.8776686541864</v>
          </cell>
          <cell r="K61" t="str">
            <v>Elegível</v>
          </cell>
          <cell r="L61" t="str">
            <v>Pós</v>
          </cell>
          <cell r="M61" t="str">
            <v>Não</v>
          </cell>
          <cell r="U61">
            <v>3036.1892503699059</v>
          </cell>
        </row>
        <row r="62">
          <cell r="H62">
            <v>3011.6</v>
          </cell>
          <cell r="J62">
            <v>2947.3183389419905</v>
          </cell>
          <cell r="K62" t="str">
            <v>Elegível</v>
          </cell>
          <cell r="L62" t="str">
            <v>Pós</v>
          </cell>
          <cell r="M62" t="str">
            <v>Não</v>
          </cell>
          <cell r="U62">
            <v>3048.5590612064957</v>
          </cell>
        </row>
        <row r="63">
          <cell r="H63">
            <v>5039.58</v>
          </cell>
          <cell r="J63">
            <v>4932.011739462504</v>
          </cell>
          <cell r="K63" t="str">
            <v>Elegível</v>
          </cell>
          <cell r="L63" t="str">
            <v>Pós</v>
          </cell>
          <cell r="M63" t="str">
            <v>Não</v>
          </cell>
          <cell r="U63">
            <v>5101.4269071838989</v>
          </cell>
        </row>
        <row r="64">
          <cell r="H64">
            <v>2983.7</v>
          </cell>
          <cell r="J64">
            <v>2920.0138557249361</v>
          </cell>
          <cell r="K64" t="str">
            <v>Elegível</v>
          </cell>
          <cell r="L64" t="str">
            <v>Pós</v>
          </cell>
          <cell r="M64" t="str">
            <v>Não</v>
          </cell>
          <cell r="U64">
            <v>3020.3166658659252</v>
          </cell>
        </row>
        <row r="65">
          <cell r="H65">
            <v>121014.94</v>
          </cell>
          <cell r="J65">
            <v>117384.40765675448</v>
          </cell>
          <cell r="K65" t="str">
            <v>INELEGÍVEL</v>
          </cell>
          <cell r="L65" t="str">
            <v>Pós</v>
          </cell>
          <cell r="M65" t="str">
            <v>Sim</v>
          </cell>
          <cell r="U65">
            <v>122999.14413616812</v>
          </cell>
        </row>
        <row r="66">
          <cell r="H66">
            <v>87259.86</v>
          </cell>
          <cell r="J66">
            <v>84642.003527096109</v>
          </cell>
          <cell r="K66" t="str">
            <v>Elegível</v>
          </cell>
          <cell r="L66" t="str">
            <v>Pós</v>
          </cell>
          <cell r="M66" t="str">
            <v>Não</v>
          </cell>
          <cell r="U66">
            <v>88690.603800174184</v>
          </cell>
        </row>
        <row r="67">
          <cell r="H67">
            <v>22547.34</v>
          </cell>
          <cell r="J67">
            <v>21870.904122544263</v>
          </cell>
          <cell r="K67" t="str">
            <v>INELEGÍVEL</v>
          </cell>
          <cell r="L67" t="str">
            <v>Pós</v>
          </cell>
          <cell r="M67" t="str">
            <v>Sim</v>
          </cell>
          <cell r="U67">
            <v>22917.034231865826</v>
          </cell>
        </row>
        <row r="68">
          <cell r="H68">
            <v>118796.69</v>
          </cell>
          <cell r="J68">
            <v>115232.70669913226</v>
          </cell>
          <cell r="K68" t="str">
            <v>ELEGÍVEL</v>
          </cell>
          <cell r="L68" t="str">
            <v>Pós</v>
          </cell>
          <cell r="M68" t="str">
            <v>Não</v>
          </cell>
          <cell r="U68">
            <v>120744.52291766358</v>
          </cell>
        </row>
        <row r="69">
          <cell r="H69">
            <v>5039.58</v>
          </cell>
          <cell r="J69">
            <v>4888.3890959151549</v>
          </cell>
          <cell r="K69" t="str">
            <v>Elegível</v>
          </cell>
          <cell r="L69" t="str">
            <v>Pós</v>
          </cell>
          <cell r="M69" t="str">
            <v>Não</v>
          </cell>
          <cell r="U69">
            <v>5122.2107518770008</v>
          </cell>
        </row>
        <row r="70">
          <cell r="H70">
            <v>81901.97</v>
          </cell>
          <cell r="J70">
            <v>79444.85395250599</v>
          </cell>
          <cell r="K70" t="str">
            <v>Elegível</v>
          </cell>
          <cell r="L70" t="str">
            <v>Pós</v>
          </cell>
          <cell r="M70" t="str">
            <v>Não</v>
          </cell>
          <cell r="U70">
            <v>83244.863923959449</v>
          </cell>
        </row>
        <row r="71">
          <cell r="H71">
            <v>36935.35</v>
          </cell>
          <cell r="J71">
            <v>35827.263818375701</v>
          </cell>
          <cell r="K71" t="str">
            <v>Elegível</v>
          </cell>
          <cell r="L71" t="str">
            <v>Pós</v>
          </cell>
          <cell r="M71" t="str">
            <v>Não</v>
          </cell>
          <cell r="U71">
            <v>37540.955177681506</v>
          </cell>
        </row>
        <row r="72">
          <cell r="H72">
            <v>206534</v>
          </cell>
          <cell r="J72">
            <v>200337.83639425124</v>
          </cell>
          <cell r="K72" t="str">
            <v>Elegível</v>
          </cell>
          <cell r="L72" t="str">
            <v>Pós</v>
          </cell>
          <cell r="M72" t="str">
            <v>Não</v>
          </cell>
          <cell r="U72">
            <v>209920.40515839899</v>
          </cell>
        </row>
        <row r="73">
          <cell r="H73">
            <v>291287.61</v>
          </cell>
          <cell r="J73">
            <v>280761.45317894279</v>
          </cell>
          <cell r="K73" t="str">
            <v>Elegível</v>
          </cell>
          <cell r="L73" t="str">
            <v>Pós</v>
          </cell>
          <cell r="M73" t="str">
            <v>Não</v>
          </cell>
          <cell r="U73">
            <v>296063.66558930592</v>
          </cell>
        </row>
        <row r="74">
          <cell r="H74">
            <v>52335.47</v>
          </cell>
          <cell r="J74">
            <v>50273.804993267666</v>
          </cell>
          <cell r="K74" t="str">
            <v>Elegível</v>
          </cell>
          <cell r="L74" t="str">
            <v>Pós</v>
          </cell>
          <cell r="M74" t="str">
            <v>Não</v>
          </cell>
          <cell r="U74">
            <v>53410.298273846354</v>
          </cell>
        </row>
        <row r="75">
          <cell r="H75">
            <v>66221.03</v>
          </cell>
          <cell r="J75">
            <v>63612.367456971871</v>
          </cell>
          <cell r="K75" t="str">
            <v>INELEGÍVEL</v>
          </cell>
          <cell r="L75" t="str">
            <v>Pós</v>
          </cell>
          <cell r="M75" t="str">
            <v>Sim</v>
          </cell>
          <cell r="U75">
            <v>67581.029926765303</v>
          </cell>
        </row>
        <row r="76">
          <cell r="H76">
            <v>154863.18</v>
          </cell>
          <cell r="J76">
            <v>148762.61380584349</v>
          </cell>
          <cell r="K76" t="str">
            <v>Elegível</v>
          </cell>
          <cell r="L76" t="str">
            <v>Pós</v>
          </cell>
          <cell r="M76" t="str">
            <v>Não</v>
          </cell>
          <cell r="U76">
            <v>158043.64870395462</v>
          </cell>
        </row>
        <row r="77">
          <cell r="H77">
            <v>471245.74</v>
          </cell>
          <cell r="J77">
            <v>444521.39092152327</v>
          </cell>
          <cell r="K77" t="str">
            <v>Elegível</v>
          </cell>
          <cell r="L77" t="str">
            <v>Pós</v>
          </cell>
          <cell r="M77" t="str">
            <v>Não</v>
          </cell>
          <cell r="U77">
            <v>484850.51553247595</v>
          </cell>
        </row>
        <row r="78">
          <cell r="H78">
            <v>406184.43</v>
          </cell>
          <cell r="J78">
            <v>383149.70824832522</v>
          </cell>
          <cell r="K78" t="str">
            <v>Elegível</v>
          </cell>
          <cell r="L78" t="str">
            <v>Pós</v>
          </cell>
          <cell r="M78" t="str">
            <v>Não</v>
          </cell>
          <cell r="U78">
            <v>417910.89779774961</v>
          </cell>
        </row>
        <row r="79">
          <cell r="H79">
            <v>653611.85</v>
          </cell>
          <cell r="J79">
            <v>616545.51759935275</v>
          </cell>
          <cell r="K79" t="str">
            <v>Elegível</v>
          </cell>
          <cell r="L79" t="str">
            <v>Pós</v>
          </cell>
          <cell r="M79" t="str">
            <v>Não</v>
          </cell>
          <cell r="U79">
            <v>672481.50069353485</v>
          </cell>
        </row>
        <row r="80">
          <cell r="H80">
            <v>359565.67</v>
          </cell>
          <cell r="J80">
            <v>339174.69844083773</v>
          </cell>
          <cell r="K80" t="str">
            <v>Elegível</v>
          </cell>
          <cell r="L80" t="str">
            <v>Pós</v>
          </cell>
          <cell r="M80" t="str">
            <v>Não</v>
          </cell>
          <cell r="U80">
            <v>369946.26299917343</v>
          </cell>
        </row>
        <row r="81">
          <cell r="H81">
            <v>420804.73</v>
          </cell>
          <cell r="J81">
            <v>396940.89093719138</v>
          </cell>
          <cell r="K81" t="str">
            <v>Elegível</v>
          </cell>
          <cell r="L81" t="str">
            <v>Pós</v>
          </cell>
          <cell r="M81" t="str">
            <v>Não</v>
          </cell>
          <cell r="U81">
            <v>432953.28309812275</v>
          </cell>
        </row>
        <row r="82">
          <cell r="H82">
            <v>384750.25</v>
          </cell>
          <cell r="J82">
            <v>362931.06073999486</v>
          </cell>
          <cell r="K82" t="str">
            <v>Elegível</v>
          </cell>
          <cell r="L82" t="str">
            <v>Pós</v>
          </cell>
          <cell r="M82" t="str">
            <v>Não</v>
          </cell>
          <cell r="U82">
            <v>395857.91706838348</v>
          </cell>
        </row>
        <row r="83">
          <cell r="H83">
            <v>377853.02</v>
          </cell>
          <cell r="J83">
            <v>356424.97269959014</v>
          </cell>
          <cell r="K83" t="str">
            <v>INELEGÍVEL</v>
          </cell>
          <cell r="L83" t="str">
            <v>Pós</v>
          </cell>
          <cell r="M83" t="str">
            <v>Sim</v>
          </cell>
          <cell r="U83">
            <v>388761.56534062873</v>
          </cell>
        </row>
        <row r="84">
          <cell r="H84">
            <v>435465.49</v>
          </cell>
          <cell r="J84">
            <v>410770.23913918604</v>
          </cell>
          <cell r="K84" t="str">
            <v>Elegível</v>
          </cell>
          <cell r="L84" t="str">
            <v>Pós</v>
          </cell>
          <cell r="M84" t="str">
            <v>Não</v>
          </cell>
          <cell r="U84">
            <v>448037.29647105612</v>
          </cell>
        </row>
        <row r="85">
          <cell r="H85">
            <v>471173.9</v>
          </cell>
          <cell r="J85">
            <v>444453.62496840552</v>
          </cell>
          <cell r="K85" t="str">
            <v>INELEGÍVEL</v>
          </cell>
          <cell r="L85" t="str">
            <v>Pós</v>
          </cell>
          <cell r="M85" t="str">
            <v>Sim</v>
          </cell>
          <cell r="U85">
            <v>484776.60152524093</v>
          </cell>
        </row>
        <row r="86">
          <cell r="H86">
            <v>401404.42</v>
          </cell>
          <cell r="J86">
            <v>378640.77264750935</v>
          </cell>
          <cell r="K86" t="str">
            <v>Elegível</v>
          </cell>
          <cell r="L86" t="str">
            <v>Pós</v>
          </cell>
          <cell r="M86" t="str">
            <v>Não</v>
          </cell>
          <cell r="U86">
            <v>412992.8898116182</v>
          </cell>
        </row>
        <row r="87">
          <cell r="H87">
            <v>715109.34</v>
          </cell>
          <cell r="J87">
            <v>674555.48452867183</v>
          </cell>
          <cell r="K87" t="str">
            <v>Elegível</v>
          </cell>
          <cell r="L87" t="str">
            <v>Pós</v>
          </cell>
          <cell r="M87" t="str">
            <v>Não</v>
          </cell>
          <cell r="U87">
            <v>735754.41161778697</v>
          </cell>
        </row>
        <row r="88">
          <cell r="H88">
            <v>703234</v>
          </cell>
          <cell r="J88">
            <v>663353.59513978101</v>
          </cell>
          <cell r="K88" t="str">
            <v>ELEGÍVEL</v>
          </cell>
          <cell r="L88" t="str">
            <v>Pós</v>
          </cell>
          <cell r="M88" t="str">
            <v>Não</v>
          </cell>
          <cell r="U88">
            <v>723536.23279430636</v>
          </cell>
        </row>
        <row r="89">
          <cell r="H89">
            <v>467343.01</v>
          </cell>
          <cell r="J89">
            <v>440839.98476601904</v>
          </cell>
          <cell r="K89" t="str">
            <v>Elegível</v>
          </cell>
          <cell r="L89" t="str">
            <v>Pós</v>
          </cell>
          <cell r="M89" t="str">
            <v>Não</v>
          </cell>
          <cell r="U89">
            <v>480835.11445429525</v>
          </cell>
        </row>
        <row r="90">
          <cell r="H90">
            <v>280379.78999999998</v>
          </cell>
          <cell r="J90">
            <v>264479.45022714604</v>
          </cell>
          <cell r="K90" t="str">
            <v>Elegível</v>
          </cell>
          <cell r="L90" t="str">
            <v>Pós</v>
          </cell>
          <cell r="M90" t="str">
            <v>Não</v>
          </cell>
          <cell r="U90">
            <v>288474.30159556953</v>
          </cell>
        </row>
        <row r="91">
          <cell r="H91">
            <v>466189.64</v>
          </cell>
          <cell r="J91">
            <v>439752.02238646068</v>
          </cell>
          <cell r="K91" t="str">
            <v>Elegível</v>
          </cell>
          <cell r="L91" t="str">
            <v>Pós</v>
          </cell>
          <cell r="M91" t="str">
            <v>Não</v>
          </cell>
          <cell r="U91">
            <v>479648.44688017631</v>
          </cell>
        </row>
        <row r="92">
          <cell r="H92">
            <v>619592.43999999994</v>
          </cell>
          <cell r="J92">
            <v>584455.34856879653</v>
          </cell>
          <cell r="K92" t="str">
            <v>Elegível</v>
          </cell>
          <cell r="L92" t="str">
            <v>Pós</v>
          </cell>
          <cell r="M92" t="str">
            <v>Não</v>
          </cell>
          <cell r="U92">
            <v>637479.95675043052</v>
          </cell>
        </row>
        <row r="93">
          <cell r="H93">
            <v>546774.39</v>
          </cell>
          <cell r="J93">
            <v>514894.75884258596</v>
          </cell>
          <cell r="K93" t="str">
            <v>Elegível</v>
          </cell>
          <cell r="L93" t="str">
            <v>Pós</v>
          </cell>
          <cell r="M93" t="str">
            <v>Não</v>
          </cell>
          <cell r="U93">
            <v>562559.66339654347</v>
          </cell>
        </row>
        <row r="94">
          <cell r="H94">
            <v>694052.42</v>
          </cell>
          <cell r="J94">
            <v>648627.61554389051</v>
          </cell>
          <cell r="K94" t="str">
            <v>INELEGÍVEL</v>
          </cell>
          <cell r="L94" t="str">
            <v>Pós</v>
          </cell>
          <cell r="M94" t="str">
            <v>Sim</v>
          </cell>
          <cell r="U94">
            <v>716998.87166434468</v>
          </cell>
        </row>
        <row r="95">
          <cell r="H95">
            <v>458947.05</v>
          </cell>
          <cell r="J95">
            <v>428909.57818777242</v>
          </cell>
          <cell r="K95" t="str">
            <v>INELEGÍVEL</v>
          </cell>
          <cell r="L95" t="str">
            <v>Pós</v>
          </cell>
          <cell r="M95" t="str">
            <v>Sim</v>
          </cell>
          <cell r="U95">
            <v>474120.55274395493</v>
          </cell>
        </row>
        <row r="96">
          <cell r="H96">
            <v>1215.76</v>
          </cell>
          <cell r="J96">
            <v>1056.0042878552365</v>
          </cell>
          <cell r="K96" t="str">
            <v>Elegível</v>
          </cell>
          <cell r="L96" t="str">
            <v>Pós</v>
          </cell>
          <cell r="M96" t="str">
            <v>Não</v>
          </cell>
          <cell r="U96">
            <v>1297.4787364992894</v>
          </cell>
        </row>
        <row r="97">
          <cell r="H97">
            <v>1215.76</v>
          </cell>
          <cell r="J97">
            <v>1056.0042878552365</v>
          </cell>
          <cell r="K97" t="str">
            <v>Elegível</v>
          </cell>
          <cell r="L97" t="str">
            <v>Pós</v>
          </cell>
          <cell r="M97" t="str">
            <v>Não</v>
          </cell>
          <cell r="U97">
            <v>1297.4787364992894</v>
          </cell>
        </row>
        <row r="98">
          <cell r="H98">
            <v>1200.83</v>
          </cell>
          <cell r="J98">
            <v>1032.9363595917318</v>
          </cell>
          <cell r="K98" t="str">
            <v>Elegível</v>
          </cell>
          <cell r="L98" t="str">
            <v>Pós</v>
          </cell>
          <cell r="M98" t="str">
            <v>Não</v>
          </cell>
          <cell r="U98">
            <v>1286.766372786795</v>
          </cell>
        </row>
        <row r="99">
          <cell r="H99">
            <v>1163.01</v>
          </cell>
          <cell r="J99">
            <v>982.36998456803235</v>
          </cell>
          <cell r="K99" t="str">
            <v>Elegível</v>
          </cell>
          <cell r="L99" t="str">
            <v>Pós</v>
          </cell>
          <cell r="M99" t="str">
            <v>Não</v>
          </cell>
          <cell r="U99">
            <v>1256.415173053653</v>
          </cell>
        </row>
        <row r="100">
          <cell r="H100">
            <v>1128.93</v>
          </cell>
          <cell r="J100">
            <v>936.39319612648069</v>
          </cell>
          <cell r="K100" t="str">
            <v>Elegível</v>
          </cell>
          <cell r="L100" t="str">
            <v>Pós</v>
          </cell>
          <cell r="M100" t="str">
            <v>Não</v>
          </cell>
          <cell r="U100">
            <v>1229.5559264272722</v>
          </cell>
        </row>
        <row r="101">
          <cell r="H101">
            <v>1128.93</v>
          </cell>
          <cell r="J101">
            <v>936.39319612648069</v>
          </cell>
          <cell r="K101" t="str">
            <v>Elegível</v>
          </cell>
          <cell r="L101" t="str">
            <v>Pós</v>
          </cell>
          <cell r="M101" t="str">
            <v>Não</v>
          </cell>
          <cell r="U101">
            <v>1229.5559264272722</v>
          </cell>
        </row>
        <row r="102">
          <cell r="H102">
            <v>1103.42</v>
          </cell>
          <cell r="J102">
            <v>899.87643139042768</v>
          </cell>
          <cell r="K102" t="str">
            <v>INELEGÍVEL</v>
          </cell>
          <cell r="L102" t="str">
            <v>Pós</v>
          </cell>
          <cell r="M102" t="str">
            <v>Sim</v>
          </cell>
          <cell r="U102">
            <v>1211.5844051590466</v>
          </cell>
        </row>
        <row r="103">
          <cell r="H103">
            <v>1127.92</v>
          </cell>
          <cell r="J103">
            <v>918.69030385522308</v>
          </cell>
          <cell r="K103" t="str">
            <v>Elegível</v>
          </cell>
          <cell r="L103" t="str">
            <v>Pós</v>
          </cell>
          <cell r="M103" t="str">
            <v>Não</v>
          </cell>
          <cell r="U103">
            <v>1238.4860545096083</v>
          </cell>
        </row>
        <row r="104">
          <cell r="H104">
            <v>1127.92</v>
          </cell>
          <cell r="J104">
            <v>918.69030385522308</v>
          </cell>
          <cell r="K104" t="str">
            <v>INELEGÍVEL</v>
          </cell>
          <cell r="L104" t="str">
            <v>Pós</v>
          </cell>
          <cell r="M104" t="str">
            <v>Sim</v>
          </cell>
          <cell r="U104">
            <v>1238.4860545096083</v>
          </cell>
        </row>
        <row r="105">
          <cell r="H105">
            <v>1126.9100000000001</v>
          </cell>
          <cell r="J105">
            <v>901.32136921208075</v>
          </cell>
          <cell r="K105" t="str">
            <v>Elegível</v>
          </cell>
          <cell r="L105" t="str">
            <v>Pós</v>
          </cell>
          <cell r="M105" t="str">
            <v>Não</v>
          </cell>
          <cell r="U105">
            <v>1247.4800408434198</v>
          </cell>
        </row>
        <row r="106">
          <cell r="H106">
            <v>1069.82</v>
          </cell>
          <cell r="J106">
            <v>794.59962588086546</v>
          </cell>
          <cell r="K106" t="str">
            <v>INELEGÍVEL</v>
          </cell>
          <cell r="L106" t="str">
            <v>Pós</v>
          </cell>
          <cell r="M106" t="str">
            <v>Sim</v>
          </cell>
          <cell r="U106">
            <v>1223.4360830795065</v>
          </cell>
        </row>
        <row r="107">
          <cell r="H107">
            <v>2122.4899999999998</v>
          </cell>
          <cell r="J107">
            <v>1561.1962553007193</v>
          </cell>
          <cell r="K107" t="str">
            <v>ELEGÍVEL</v>
          </cell>
          <cell r="L107" t="str">
            <v>Pós</v>
          </cell>
          <cell r="M107" t="str">
            <v>Não</v>
          </cell>
          <cell r="U107">
            <v>2437.1485435860131</v>
          </cell>
        </row>
        <row r="108">
          <cell r="H108">
            <v>1479.68</v>
          </cell>
          <cell r="J108">
            <v>1088.3777426717529</v>
          </cell>
          <cell r="K108" t="str">
            <v>Elegível</v>
          </cell>
          <cell r="L108" t="str">
            <v>Pós</v>
          </cell>
          <cell r="M108" t="str">
            <v>Não</v>
          </cell>
          <cell r="U108">
            <v>1699.0421424710376</v>
          </cell>
        </row>
        <row r="109">
          <cell r="H109">
            <v>1505.69</v>
          </cell>
          <cell r="J109">
            <v>1076.5581382141061</v>
          </cell>
          <cell r="K109" t="str">
            <v>Elegível</v>
          </cell>
          <cell r="L109" t="str">
            <v>Pós</v>
          </cell>
          <cell r="M109" t="str">
            <v>Não</v>
          </cell>
          <cell r="U109">
            <v>1750.125683357506</v>
          </cell>
        </row>
        <row r="110">
          <cell r="H110">
            <v>1497.17</v>
          </cell>
          <cell r="J110">
            <v>1063.694919542244</v>
          </cell>
          <cell r="K110" t="str">
            <v>Elegível</v>
          </cell>
          <cell r="L110" t="str">
            <v>Pós</v>
          </cell>
          <cell r="M110" t="str">
            <v>Não</v>
          </cell>
          <cell r="U110">
            <v>1747.3124174376064</v>
          </cell>
        </row>
        <row r="111">
          <cell r="H111">
            <v>1471.2</v>
          </cell>
          <cell r="J111">
            <v>1034.2473791625828</v>
          </cell>
          <cell r="K111" t="str">
            <v>Elegível</v>
          </cell>
          <cell r="L111" t="str">
            <v>Pós</v>
          </cell>
          <cell r="M111" t="str">
            <v>Não</v>
          </cell>
          <cell r="U111">
            <v>1723.9987166844107</v>
          </cell>
        </row>
        <row r="112">
          <cell r="H112">
            <v>1120.51</v>
          </cell>
          <cell r="J112">
            <v>758.60632345933254</v>
          </cell>
          <cell r="K112" t="str">
            <v>INELEGÍVEL</v>
          </cell>
          <cell r="L112" t="str">
            <v>Pós</v>
          </cell>
          <cell r="M112" t="str">
            <v>Sim</v>
          </cell>
          <cell r="U112">
            <v>1334.5782981471209</v>
          </cell>
        </row>
        <row r="113">
          <cell r="H113">
            <v>1115.46</v>
          </cell>
          <cell r="J113">
            <v>755.18737857399492</v>
          </cell>
          <cell r="K113" t="str">
            <v>Elegível</v>
          </cell>
          <cell r="L113" t="str">
            <v>Pós</v>
          </cell>
          <cell r="M113" t="str">
            <v>Não</v>
          </cell>
          <cell r="U113">
            <v>1328.5635188005351</v>
          </cell>
        </row>
      </sheetData>
      <sheetData sheetId="8">
        <row r="10">
          <cell r="BP10" t="str">
            <v>## Elegibilidade</v>
          </cell>
        </row>
        <row r="11">
          <cell r="BP11" t="str">
            <v>INELEGÍVEL</v>
          </cell>
        </row>
        <row r="12">
          <cell r="BP12" t="str">
            <v>INELEGÍVEL</v>
          </cell>
        </row>
        <row r="13">
          <cell r="BP13" t="str">
            <v>INELEGÍVEL</v>
          </cell>
        </row>
        <row r="14">
          <cell r="BP14" t="str">
            <v>INELEGÍVEL</v>
          </cell>
        </row>
        <row r="15">
          <cell r="BP15" t="str">
            <v>ELEGÍVEL</v>
          </cell>
        </row>
        <row r="16">
          <cell r="BP16" t="str">
            <v>ELEGÍVEL</v>
          </cell>
        </row>
        <row r="17">
          <cell r="BP17" t="str">
            <v>ELEGÍVEL</v>
          </cell>
        </row>
        <row r="18">
          <cell r="BP18" t="str">
            <v>ELEGÍVEL</v>
          </cell>
        </row>
        <row r="19">
          <cell r="BP19" t="str">
            <v>ELEGÍVEL</v>
          </cell>
        </row>
        <row r="20">
          <cell r="BP20" t="str">
            <v>ELEGÍVEL</v>
          </cell>
        </row>
        <row r="21">
          <cell r="BP21" t="str">
            <v>ELEGÍVEL</v>
          </cell>
        </row>
        <row r="22">
          <cell r="BP22" t="str">
            <v>ELEGÍVEL</v>
          </cell>
        </row>
        <row r="23">
          <cell r="BP23" t="str">
            <v>ELEGÍVEL</v>
          </cell>
        </row>
        <row r="24">
          <cell r="BP24" t="str">
            <v>ELEGÍVEL</v>
          </cell>
        </row>
        <row r="25">
          <cell r="BP25" t="str">
            <v>ELEGÍVEL</v>
          </cell>
        </row>
        <row r="26">
          <cell r="BP26" t="str">
            <v>ELEGÍVEL</v>
          </cell>
        </row>
        <row r="27">
          <cell r="BP27" t="str">
            <v>ELEGÍVEL</v>
          </cell>
        </row>
        <row r="28">
          <cell r="BP28" t="str">
            <v>ELEGÍVEL</v>
          </cell>
        </row>
        <row r="29">
          <cell r="BP29" t="str">
            <v>ELEGÍVEL</v>
          </cell>
        </row>
        <row r="30">
          <cell r="BP30" t="str">
            <v>ELEGÍVEL</v>
          </cell>
        </row>
        <row r="31">
          <cell r="BP31" t="str">
            <v>ELEGÍVEL</v>
          </cell>
        </row>
        <row r="32">
          <cell r="BP32" t="str">
            <v>ELEGÍVEL</v>
          </cell>
        </row>
      </sheetData>
      <sheetData sheetId="9">
        <row r="2">
          <cell r="I2" t="str">
            <v>Análise Inadimplência</v>
          </cell>
        </row>
        <row r="3">
          <cell r="I3" t="str">
            <v>Periodo de Atraso</v>
          </cell>
          <cell r="K3" t="str">
            <v>Valor</v>
          </cell>
        </row>
        <row r="4">
          <cell r="I4" t="str">
            <v>1 a 30 dias</v>
          </cell>
          <cell r="K4">
            <v>2161.37</v>
          </cell>
        </row>
        <row r="5">
          <cell r="F5">
            <v>4</v>
          </cell>
          <cell r="I5" t="str">
            <v>31 a 60 dias</v>
          </cell>
          <cell r="K5">
            <v>0</v>
          </cell>
        </row>
        <row r="6">
          <cell r="F6">
            <v>5</v>
          </cell>
          <cell r="I6" t="str">
            <v>61 a 90 dias</v>
          </cell>
          <cell r="K6">
            <v>0</v>
          </cell>
        </row>
        <row r="7">
          <cell r="I7" t="str">
            <v>91 a 120 dias</v>
          </cell>
          <cell r="K7">
            <v>0</v>
          </cell>
        </row>
        <row r="8">
          <cell r="I8" t="str">
            <v>121 a 150 dias</v>
          </cell>
          <cell r="K8">
            <v>0</v>
          </cell>
        </row>
        <row r="9">
          <cell r="I9" t="str">
            <v>151 a 180 dias</v>
          </cell>
          <cell r="K9">
            <v>54101.119999999988</v>
          </cell>
        </row>
        <row r="10">
          <cell r="I10" t="str">
            <v>Acima de 180 dias</v>
          </cell>
          <cell r="K10">
            <v>176068.33000000002</v>
          </cell>
        </row>
        <row r="11">
          <cell r="I11" t="str">
            <v>Total</v>
          </cell>
          <cell r="K11">
            <v>232330.82</v>
          </cell>
        </row>
        <row r="14">
          <cell r="K14">
            <v>0.30108842162204441</v>
          </cell>
        </row>
        <row r="15">
          <cell r="I15" t="str">
            <v>Elegibilidade</v>
          </cell>
          <cell r="K15" t="str">
            <v>Participação no saldo devedor da carteira</v>
          </cell>
        </row>
        <row r="16">
          <cell r="I16" t="str">
            <v>INELEGÍVEL</v>
          </cell>
          <cell r="K16">
            <v>7.8145467329931842E-2</v>
          </cell>
        </row>
        <row r="17">
          <cell r="I17" t="str">
            <v>INELEGÍVEL</v>
          </cell>
          <cell r="K17">
            <v>3.8504213141148914E-2</v>
          </cell>
        </row>
        <row r="18">
          <cell r="I18" t="str">
            <v>INELEGÍVEL</v>
          </cell>
          <cell r="K18">
            <v>5.5157975460645679E-2</v>
          </cell>
        </row>
        <row r="19">
          <cell r="I19" t="str">
            <v>INELEGÍVEL</v>
          </cell>
          <cell r="K19">
            <v>5.3336993887961148E-2</v>
          </cell>
        </row>
        <row r="20">
          <cell r="I20" t="str">
            <v>ELEGÍVEL</v>
          </cell>
          <cell r="K20">
            <v>7.5943771802356799E-2</v>
          </cell>
        </row>
      </sheetData>
      <sheetData sheetId="10">
        <row r="10">
          <cell r="I10">
            <v>230169.45</v>
          </cell>
          <cell r="J10">
            <v>2219541.64</v>
          </cell>
        </row>
      </sheetData>
      <sheetData sheetId="11">
        <row r="10">
          <cell r="H10">
            <v>327226.65000000002</v>
          </cell>
        </row>
        <row r="11">
          <cell r="H11" t="str">
            <v>Valor Pago</v>
          </cell>
          <cell r="J11" t="str">
            <v>Status</v>
          </cell>
        </row>
        <row r="12">
          <cell r="H12">
            <v>3229.03</v>
          </cell>
          <cell r="J12" t="str">
            <v>Pago</v>
          </cell>
        </row>
        <row r="13">
          <cell r="H13">
            <v>514.21</v>
          </cell>
          <cell r="J13" t="str">
            <v>Pago</v>
          </cell>
        </row>
        <row r="14">
          <cell r="H14">
            <v>3085.23</v>
          </cell>
          <cell r="J14" t="str">
            <v>Pago</v>
          </cell>
        </row>
        <row r="15">
          <cell r="H15">
            <v>2222.09</v>
          </cell>
          <cell r="J15" t="str">
            <v>Pago</v>
          </cell>
        </row>
        <row r="16">
          <cell r="H16">
            <v>5020</v>
          </cell>
          <cell r="J16" t="str">
            <v>Pago</v>
          </cell>
        </row>
        <row r="17">
          <cell r="H17">
            <v>2068.75</v>
          </cell>
          <cell r="J17" t="str">
            <v>Pago</v>
          </cell>
        </row>
        <row r="18">
          <cell r="H18">
            <v>2999.9</v>
          </cell>
          <cell r="J18" t="str">
            <v>Pago</v>
          </cell>
        </row>
        <row r="19">
          <cell r="H19">
            <v>2555.8000000000002</v>
          </cell>
          <cell r="J19" t="str">
            <v>Pago</v>
          </cell>
        </row>
        <row r="20">
          <cell r="H20">
            <v>300000</v>
          </cell>
          <cell r="J20" t="str">
            <v>Pago</v>
          </cell>
        </row>
        <row r="21">
          <cell r="H21">
            <v>3370.27</v>
          </cell>
          <cell r="J21" t="str">
            <v>Em Aberto</v>
          </cell>
        </row>
        <row r="22">
          <cell r="H22">
            <v>2161.37</v>
          </cell>
          <cell r="J22" t="str">
            <v>Em Aberto</v>
          </cell>
        </row>
      </sheetData>
      <sheetData sheetId="12"/>
      <sheetData sheetId="13">
        <row r="9">
          <cell r="G9" t="str">
            <v>## Operação</v>
          </cell>
        </row>
        <row r="10">
          <cell r="F10">
            <v>589000</v>
          </cell>
          <cell r="G10" t="str">
            <v>Operação</v>
          </cell>
        </row>
      </sheetData>
      <sheetData sheetId="14">
        <row r="10">
          <cell r="G10" t="str">
            <v>Status</v>
          </cell>
        </row>
      </sheetData>
      <sheetData sheetId="15">
        <row r="2">
          <cell r="F2">
            <v>0</v>
          </cell>
          <cell r="J2" t="str">
            <v>Unidades</v>
          </cell>
        </row>
        <row r="3">
          <cell r="J3">
            <v>1304</v>
          </cell>
          <cell r="M3">
            <v>9349.2063492063498</v>
          </cell>
        </row>
        <row r="4">
          <cell r="F4">
            <v>4</v>
          </cell>
          <cell r="J4">
            <v>1303</v>
          </cell>
          <cell r="M4">
            <v>9042.3861852433274</v>
          </cell>
        </row>
        <row r="5">
          <cell r="J5">
            <v>1402</v>
          </cell>
          <cell r="M5">
            <v>9604.3513482235849</v>
          </cell>
        </row>
        <row r="6">
          <cell r="P6">
            <v>1411207.3599460605</v>
          </cell>
        </row>
        <row r="9">
          <cell r="C9" t="str">
            <v>Área Total</v>
          </cell>
          <cell r="J9" t="str">
            <v>Status</v>
          </cell>
        </row>
        <row r="10">
          <cell r="C10">
            <v>86.41</v>
          </cell>
          <cell r="J10" t="str">
            <v>Vendido</v>
          </cell>
        </row>
        <row r="11">
          <cell r="C11">
            <v>63.7</v>
          </cell>
          <cell r="J11" t="str">
            <v>Vendido</v>
          </cell>
        </row>
        <row r="12">
          <cell r="C12">
            <v>86.41</v>
          </cell>
          <cell r="J12" t="str">
            <v>Vendido</v>
          </cell>
        </row>
        <row r="13">
          <cell r="C13">
            <v>63.7</v>
          </cell>
          <cell r="J13" t="str">
            <v>Vendido</v>
          </cell>
        </row>
        <row r="14">
          <cell r="C14">
            <v>86.41</v>
          </cell>
          <cell r="J14" t="str">
            <v>Vendido</v>
          </cell>
        </row>
        <row r="15">
          <cell r="C15">
            <v>63.7</v>
          </cell>
          <cell r="J15" t="str">
            <v>Vendido</v>
          </cell>
        </row>
        <row r="16">
          <cell r="C16">
            <v>63.7</v>
          </cell>
          <cell r="J16" t="str">
            <v>Vendido</v>
          </cell>
        </row>
        <row r="17">
          <cell r="C17">
            <v>63.7</v>
          </cell>
          <cell r="J17" t="str">
            <v>Vendido</v>
          </cell>
        </row>
        <row r="18">
          <cell r="C18">
            <v>63</v>
          </cell>
          <cell r="J18" t="str">
            <v>Vendido</v>
          </cell>
        </row>
        <row r="19">
          <cell r="C19">
            <v>63</v>
          </cell>
          <cell r="J19" t="str">
            <v>Vendido</v>
          </cell>
        </row>
        <row r="20">
          <cell r="C20">
            <v>63</v>
          </cell>
          <cell r="J20" t="str">
            <v>Vendido</v>
          </cell>
        </row>
        <row r="21">
          <cell r="C21">
            <v>63</v>
          </cell>
          <cell r="J21" t="str">
            <v>Vendido</v>
          </cell>
        </row>
        <row r="22">
          <cell r="C22">
            <v>63</v>
          </cell>
          <cell r="J22" t="str">
            <v>Vendido</v>
          </cell>
        </row>
        <row r="23">
          <cell r="C23">
            <v>63</v>
          </cell>
          <cell r="J23" t="str">
            <v>Vendido</v>
          </cell>
        </row>
        <row r="24">
          <cell r="C24">
            <v>63</v>
          </cell>
          <cell r="J24" t="str">
            <v>Vendido</v>
          </cell>
        </row>
        <row r="25">
          <cell r="C25">
            <v>63</v>
          </cell>
          <cell r="J25" t="str">
            <v>Vendido</v>
          </cell>
        </row>
        <row r="26">
          <cell r="C26">
            <v>63</v>
          </cell>
          <cell r="J26" t="str">
            <v>Vendido</v>
          </cell>
        </row>
        <row r="27">
          <cell r="C27">
            <v>86</v>
          </cell>
          <cell r="J27" t="str">
            <v>Vendido</v>
          </cell>
        </row>
        <row r="28">
          <cell r="C28">
            <v>86.41</v>
          </cell>
          <cell r="J28" t="str">
            <v>Quitado</v>
          </cell>
        </row>
        <row r="29">
          <cell r="C29">
            <v>86.41</v>
          </cell>
          <cell r="J29" t="str">
            <v>Quitado</v>
          </cell>
        </row>
        <row r="30">
          <cell r="C30">
            <v>86.41</v>
          </cell>
          <cell r="J30" t="str">
            <v>Quitado</v>
          </cell>
        </row>
        <row r="31">
          <cell r="C31">
            <v>63.7</v>
          </cell>
          <cell r="J31" t="str">
            <v>Quitado</v>
          </cell>
        </row>
        <row r="32">
          <cell r="C32">
            <v>63.7</v>
          </cell>
          <cell r="J32" t="str">
            <v>Permuta</v>
          </cell>
        </row>
        <row r="33">
          <cell r="C33">
            <v>63.7</v>
          </cell>
          <cell r="J33" t="str">
            <v>Permuta</v>
          </cell>
        </row>
        <row r="34">
          <cell r="C34">
            <v>63.7</v>
          </cell>
          <cell r="J34" t="str">
            <v>Permuta</v>
          </cell>
        </row>
        <row r="35">
          <cell r="C35">
            <v>63.7</v>
          </cell>
          <cell r="J35" t="str">
            <v>Permuta</v>
          </cell>
        </row>
        <row r="36">
          <cell r="C36">
            <v>41.33</v>
          </cell>
          <cell r="J36" t="str">
            <v>Disponível</v>
          </cell>
        </row>
        <row r="37">
          <cell r="C37">
            <v>37.92</v>
          </cell>
          <cell r="J37" t="str">
            <v>Disponível</v>
          </cell>
        </row>
        <row r="38">
          <cell r="C38">
            <v>34.67</v>
          </cell>
          <cell r="J38" t="str">
            <v>Disponível</v>
          </cell>
        </row>
        <row r="39">
          <cell r="C39">
            <v>40.31</v>
          </cell>
          <cell r="J39" t="str">
            <v>Disponível</v>
          </cell>
        </row>
        <row r="40">
          <cell r="C40">
            <v>64.239999999999995</v>
          </cell>
          <cell r="J40" t="str">
            <v>Disponível</v>
          </cell>
        </row>
        <row r="41">
          <cell r="C41">
            <v>36.85</v>
          </cell>
          <cell r="J41" t="str">
            <v>Disponível</v>
          </cell>
        </row>
        <row r="42">
          <cell r="C42">
            <v>41.25</v>
          </cell>
          <cell r="J42" t="str">
            <v>Disponível</v>
          </cell>
        </row>
        <row r="43">
          <cell r="C43">
            <v>34.67</v>
          </cell>
          <cell r="J43" t="str">
            <v>Disponível</v>
          </cell>
        </row>
        <row r="44">
          <cell r="C44">
            <v>34.67</v>
          </cell>
          <cell r="J44" t="str">
            <v>Disponível</v>
          </cell>
        </row>
        <row r="45">
          <cell r="C45">
            <v>40.04</v>
          </cell>
          <cell r="J45" t="str">
            <v>Disponível</v>
          </cell>
        </row>
        <row r="46">
          <cell r="C46">
            <v>32.200000000000003</v>
          </cell>
          <cell r="J46" t="str">
            <v>Disponível</v>
          </cell>
        </row>
        <row r="47">
          <cell r="C47">
            <v>41.33</v>
          </cell>
          <cell r="J47" t="str">
            <v>Disponível</v>
          </cell>
        </row>
        <row r="48">
          <cell r="C48">
            <v>37.92</v>
          </cell>
          <cell r="J48" t="str">
            <v>Disponível</v>
          </cell>
        </row>
        <row r="49">
          <cell r="C49">
            <v>34.67</v>
          </cell>
          <cell r="J49" t="str">
            <v>Disponível</v>
          </cell>
        </row>
        <row r="50">
          <cell r="C50">
            <v>40.31</v>
          </cell>
          <cell r="J50" t="str">
            <v>Disponível</v>
          </cell>
        </row>
        <row r="51">
          <cell r="C51">
            <v>64.239999999999995</v>
          </cell>
          <cell r="J51" t="str">
            <v>Disponível</v>
          </cell>
        </row>
        <row r="52">
          <cell r="C52">
            <v>36.85</v>
          </cell>
          <cell r="J52" t="str">
            <v>Disponível</v>
          </cell>
        </row>
        <row r="53">
          <cell r="C53">
            <v>41.25</v>
          </cell>
          <cell r="J53" t="str">
            <v>Disponível</v>
          </cell>
        </row>
        <row r="54">
          <cell r="C54">
            <v>34.67</v>
          </cell>
          <cell r="J54" t="str">
            <v>Disponível</v>
          </cell>
        </row>
        <row r="55">
          <cell r="C55">
            <v>34.67</v>
          </cell>
          <cell r="J55" t="str">
            <v>Disponível</v>
          </cell>
        </row>
        <row r="56">
          <cell r="C56">
            <v>40.04</v>
          </cell>
          <cell r="J56" t="str">
            <v>Disponível</v>
          </cell>
        </row>
        <row r="57">
          <cell r="C57">
            <v>32.200000000000003</v>
          </cell>
          <cell r="J57" t="str">
            <v>Disponível</v>
          </cell>
        </row>
        <row r="58">
          <cell r="C58">
            <v>143</v>
          </cell>
          <cell r="J58" t="str">
            <v>Disponível</v>
          </cell>
        </row>
        <row r="59">
          <cell r="C59">
            <v>122.3</v>
          </cell>
          <cell r="J59" t="str">
            <v>Disponível</v>
          </cell>
        </row>
        <row r="60">
          <cell r="C60">
            <v>122</v>
          </cell>
          <cell r="J60" t="str">
            <v>Disponível</v>
          </cell>
        </row>
        <row r="61">
          <cell r="C61">
            <v>124.45</v>
          </cell>
          <cell r="J61" t="str">
            <v>Disponível</v>
          </cell>
        </row>
        <row r="62">
          <cell r="C62">
            <v>63.7</v>
          </cell>
          <cell r="J62" t="str">
            <v>Disponível</v>
          </cell>
        </row>
        <row r="63">
          <cell r="C63">
            <v>86.41</v>
          </cell>
          <cell r="J63" t="str">
            <v>Disponível</v>
          </cell>
        </row>
        <row r="64">
          <cell r="C64">
            <v>86.41</v>
          </cell>
          <cell r="J64" t="str">
            <v>Disponível</v>
          </cell>
        </row>
        <row r="65">
          <cell r="C65">
            <v>86.41</v>
          </cell>
          <cell r="J65" t="str">
            <v>Disponível</v>
          </cell>
        </row>
        <row r="66">
          <cell r="C66">
            <v>86.41</v>
          </cell>
          <cell r="J66" t="str">
            <v>Disponível</v>
          </cell>
        </row>
        <row r="67">
          <cell r="C67">
            <v>86.41</v>
          </cell>
          <cell r="J67" t="str">
            <v>Disponível</v>
          </cell>
        </row>
        <row r="68">
          <cell r="C68">
            <v>86.41</v>
          </cell>
          <cell r="J68" t="str">
            <v>Disponível</v>
          </cell>
        </row>
        <row r="69">
          <cell r="C69">
            <v>86.41</v>
          </cell>
          <cell r="J69" t="str">
            <v>Disponível</v>
          </cell>
        </row>
        <row r="70">
          <cell r="C70">
            <v>86.41</v>
          </cell>
          <cell r="J70" t="str">
            <v>Disponível</v>
          </cell>
        </row>
        <row r="71">
          <cell r="C71">
            <v>86.41</v>
          </cell>
          <cell r="J71" t="str">
            <v>Disponível</v>
          </cell>
        </row>
        <row r="72">
          <cell r="C72">
            <v>86.41</v>
          </cell>
          <cell r="J72" t="str">
            <v>Disponível</v>
          </cell>
        </row>
        <row r="73">
          <cell r="C73">
            <v>86.41</v>
          </cell>
          <cell r="J73" t="str">
            <v>Disponível</v>
          </cell>
        </row>
        <row r="74">
          <cell r="C74">
            <v>86.41</v>
          </cell>
          <cell r="J74" t="str">
            <v>Disponível</v>
          </cell>
        </row>
        <row r="75">
          <cell r="C75">
            <v>63.7</v>
          </cell>
          <cell r="J75" t="str">
            <v>Vendido</v>
          </cell>
        </row>
        <row r="76">
          <cell r="C76">
            <v>86.41</v>
          </cell>
          <cell r="J76" t="str">
            <v>Disponível</v>
          </cell>
        </row>
        <row r="77">
          <cell r="C77">
            <v>86.41</v>
          </cell>
          <cell r="J77" t="str">
            <v>Disponível</v>
          </cell>
        </row>
        <row r="78">
          <cell r="C78">
            <v>63.7</v>
          </cell>
          <cell r="J78" t="str">
            <v>Vendido</v>
          </cell>
        </row>
        <row r="79">
          <cell r="C79">
            <v>86.41</v>
          </cell>
          <cell r="J79" t="str">
            <v>Vendido</v>
          </cell>
        </row>
        <row r="80">
          <cell r="C80">
            <v>86.41</v>
          </cell>
          <cell r="J80" t="str">
            <v>Vendido</v>
          </cell>
        </row>
        <row r="81">
          <cell r="C81">
            <v>63.7</v>
          </cell>
          <cell r="J81" t="str">
            <v>Disponível</v>
          </cell>
        </row>
        <row r="82">
          <cell r="C82">
            <v>63.7</v>
          </cell>
          <cell r="J82" t="str">
            <v>Quitado</v>
          </cell>
        </row>
        <row r="83">
          <cell r="C83">
            <v>86.41</v>
          </cell>
          <cell r="J83" t="str">
            <v>Disponível</v>
          </cell>
        </row>
        <row r="84">
          <cell r="C84">
            <v>86.41</v>
          </cell>
          <cell r="J84" t="str">
            <v>Disponível</v>
          </cell>
        </row>
        <row r="85">
          <cell r="C85">
            <v>63.7</v>
          </cell>
          <cell r="J85" t="str">
            <v>Disponível</v>
          </cell>
        </row>
        <row r="86">
          <cell r="C86">
            <v>63.7</v>
          </cell>
          <cell r="J86" t="str">
            <v>Disponível</v>
          </cell>
        </row>
        <row r="87">
          <cell r="C87">
            <v>86.41</v>
          </cell>
          <cell r="J87" t="str">
            <v>Disponível</v>
          </cell>
        </row>
        <row r="88">
          <cell r="C88">
            <v>86.41</v>
          </cell>
          <cell r="J88" t="str">
            <v>Disponível</v>
          </cell>
        </row>
        <row r="89">
          <cell r="C89">
            <v>63.7</v>
          </cell>
          <cell r="J89" t="str">
            <v>Disponível</v>
          </cell>
        </row>
        <row r="90">
          <cell r="C90">
            <v>63.7</v>
          </cell>
          <cell r="J90" t="str">
            <v>Disponível</v>
          </cell>
        </row>
        <row r="91">
          <cell r="C91">
            <v>86.41</v>
          </cell>
          <cell r="J91" t="str">
            <v>Disponível</v>
          </cell>
        </row>
        <row r="92">
          <cell r="C92">
            <v>86.41</v>
          </cell>
          <cell r="J92" t="str">
            <v>Disponível</v>
          </cell>
        </row>
        <row r="93">
          <cell r="C93">
            <v>63.7</v>
          </cell>
          <cell r="J93" t="str">
            <v>Disponível</v>
          </cell>
        </row>
        <row r="94">
          <cell r="C94">
            <v>63.7</v>
          </cell>
          <cell r="J94" t="str">
            <v>Disponível</v>
          </cell>
        </row>
        <row r="95">
          <cell r="C95">
            <v>86.41</v>
          </cell>
          <cell r="J95" t="str">
            <v>Disponível</v>
          </cell>
        </row>
        <row r="96">
          <cell r="C96">
            <v>63.7</v>
          </cell>
          <cell r="J96" t="str">
            <v>Disponível</v>
          </cell>
        </row>
        <row r="97">
          <cell r="C97">
            <v>86.41</v>
          </cell>
          <cell r="J97" t="str">
            <v>Disponível</v>
          </cell>
        </row>
        <row r="98">
          <cell r="C98">
            <v>86.41</v>
          </cell>
          <cell r="J98" t="str">
            <v>Disponível</v>
          </cell>
        </row>
        <row r="99">
          <cell r="C99">
            <v>63.7</v>
          </cell>
          <cell r="J99" t="str">
            <v>Disponível</v>
          </cell>
        </row>
        <row r="100">
          <cell r="C100">
            <v>86.41</v>
          </cell>
          <cell r="J100" t="str">
            <v>Disponível</v>
          </cell>
        </row>
        <row r="101">
          <cell r="C101">
            <v>86.41</v>
          </cell>
          <cell r="J101" t="str">
            <v>Disponível</v>
          </cell>
        </row>
        <row r="102">
          <cell r="C102">
            <v>63.7</v>
          </cell>
          <cell r="J102" t="str">
            <v>Disponível</v>
          </cell>
        </row>
        <row r="103">
          <cell r="C103">
            <v>63.7</v>
          </cell>
          <cell r="J103" t="str">
            <v>Disponível</v>
          </cell>
        </row>
        <row r="104">
          <cell r="C104">
            <v>86.41</v>
          </cell>
          <cell r="J104" t="str">
            <v>Disponível</v>
          </cell>
        </row>
        <row r="105">
          <cell r="C105">
            <v>86.41</v>
          </cell>
          <cell r="J105" t="str">
            <v>Disponível</v>
          </cell>
        </row>
        <row r="106">
          <cell r="C106">
            <v>63.7</v>
          </cell>
          <cell r="J106" t="str">
            <v>Disponível</v>
          </cell>
        </row>
        <row r="107">
          <cell r="C107">
            <v>63.7</v>
          </cell>
          <cell r="J107" t="str">
            <v>Disponível</v>
          </cell>
        </row>
        <row r="108">
          <cell r="C108">
            <v>136.99</v>
          </cell>
          <cell r="J108" t="str">
            <v>Disponível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C096-747C-4F2D-9DE6-9C9E97DC4323}">
  <sheetPr>
    <tabColor theme="9" tint="0.59999389629810485"/>
  </sheetPr>
  <dimension ref="B1:AS169"/>
  <sheetViews>
    <sheetView showGridLines="0" tabSelected="1" zoomScaleNormal="100" workbookViewId="0">
      <pane ySplit="2" topLeftCell="A71" activePane="bottomLeft" state="frozen"/>
      <selection pane="bottomLeft" activeCell="B2" sqref="B2:G2"/>
    </sheetView>
  </sheetViews>
  <sheetFormatPr defaultColWidth="9.109375" defaultRowHeight="14.4" x14ac:dyDescent="0.3"/>
  <cols>
    <col min="1" max="1" width="2.88671875" style="2" customWidth="1"/>
    <col min="2" max="2" width="3.33203125" style="1" customWidth="1"/>
    <col min="3" max="6" width="24" style="2" customWidth="1"/>
    <col min="7" max="7" width="28.33203125" style="2" bestFit="1" customWidth="1"/>
    <col min="8" max="8" width="2.88671875" style="2" customWidth="1"/>
    <col min="9" max="9" width="28.33203125" style="2" bestFit="1" customWidth="1"/>
    <col min="10" max="10" width="2.88671875" style="2" customWidth="1"/>
    <col min="11" max="11" width="28.33203125" style="2" bestFit="1" customWidth="1"/>
    <col min="12" max="12" width="2.88671875" style="2" customWidth="1"/>
    <col min="13" max="13" width="28.33203125" style="2" bestFit="1" customWidth="1"/>
    <col min="14" max="14" width="2.88671875" style="2" customWidth="1"/>
    <col min="15" max="15" width="28.33203125" style="2" bestFit="1" customWidth="1"/>
    <col min="16" max="16" width="2.88671875" style="2" customWidth="1"/>
    <col min="17" max="17" width="28.33203125" style="2" bestFit="1" customWidth="1"/>
    <col min="18" max="18" width="2.88671875" style="2" customWidth="1"/>
    <col min="19" max="19" width="28.33203125" style="2" bestFit="1" customWidth="1"/>
    <col min="20" max="20" width="2.88671875" style="2" customWidth="1"/>
    <col min="21" max="21" width="28.33203125" style="2" bestFit="1" customWidth="1"/>
    <col min="22" max="22" width="2.88671875" style="2" customWidth="1"/>
    <col min="23" max="23" width="28.33203125" style="2" bestFit="1" customWidth="1"/>
    <col min="24" max="24" width="2.88671875" style="2" customWidth="1"/>
    <col min="25" max="25" width="28.33203125" style="2" bestFit="1" customWidth="1"/>
    <col min="26" max="26" width="2.88671875" style="2" customWidth="1"/>
    <col min="27" max="27" width="28.33203125" style="2" bestFit="1" customWidth="1"/>
    <col min="28" max="28" width="2.88671875" style="2" customWidth="1"/>
    <col min="29" max="29" width="28.33203125" style="2" bestFit="1" customWidth="1"/>
    <col min="30" max="30" width="2.88671875" style="2" customWidth="1"/>
    <col min="31" max="31" width="28.33203125" style="2" bestFit="1" customWidth="1"/>
    <col min="32" max="32" width="2.88671875" style="2" customWidth="1"/>
    <col min="33" max="33" width="28.33203125" style="2" bestFit="1" customWidth="1"/>
    <col min="34" max="34" width="2.88671875" style="2" customWidth="1"/>
    <col min="35" max="35" width="28.33203125" style="2" bestFit="1" customWidth="1"/>
    <col min="36" max="36" width="2.88671875" style="2" customWidth="1"/>
    <col min="37" max="37" width="28.33203125" style="2" bestFit="1" customWidth="1"/>
    <col min="38" max="38" width="2.88671875" style="2" customWidth="1"/>
    <col min="39" max="39" width="28.33203125" style="2" bestFit="1" customWidth="1"/>
    <col min="40" max="40" width="2.33203125" style="2" customWidth="1"/>
    <col min="41" max="41" width="25.88671875" style="2" customWidth="1"/>
    <col min="42" max="43" width="9.109375" style="2"/>
    <col min="44" max="44" width="17.6640625" style="2" customWidth="1"/>
    <col min="45" max="45" width="22.109375" style="2" customWidth="1"/>
    <col min="46" max="16384" width="9.109375" style="2"/>
  </cols>
  <sheetData>
    <row r="1" spans="2:45" ht="126.75" customHeight="1" x14ac:dyDescent="0.3">
      <c r="I1"/>
      <c r="K1"/>
      <c r="M1"/>
      <c r="O1"/>
      <c r="Q1"/>
      <c r="S1"/>
      <c r="U1"/>
      <c r="W1"/>
      <c r="Y1"/>
      <c r="AA1"/>
      <c r="AC1"/>
      <c r="AE1"/>
      <c r="AG1"/>
      <c r="AI1"/>
      <c r="AR1" s="3" t="s">
        <v>0</v>
      </c>
      <c r="AS1" s="4">
        <v>45778</v>
      </c>
    </row>
    <row r="2" spans="2:45" ht="25.5" customHeight="1" x14ac:dyDescent="0.3">
      <c r="B2" s="5" t="s">
        <v>1</v>
      </c>
      <c r="C2" s="5"/>
      <c r="D2" s="5"/>
      <c r="E2" s="5"/>
      <c r="F2" s="5"/>
      <c r="G2" s="5"/>
      <c r="I2" s="6" t="s">
        <v>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R2" s="3" t="s">
        <v>3</v>
      </c>
      <c r="AS2" s="7">
        <v>0.1125</v>
      </c>
    </row>
    <row r="3" spans="2:45" s="10" customFormat="1" x14ac:dyDescent="0.3">
      <c r="B3" s="8"/>
      <c r="C3" s="9"/>
      <c r="G3" s="11">
        <v>45748</v>
      </c>
      <c r="I3" s="11">
        <v>45717</v>
      </c>
      <c r="K3" s="11">
        <v>45689</v>
      </c>
      <c r="M3" s="11">
        <v>45658</v>
      </c>
      <c r="O3" s="11">
        <v>45627</v>
      </c>
      <c r="Q3" s="11">
        <v>45597</v>
      </c>
      <c r="S3" s="11">
        <v>45566</v>
      </c>
      <c r="U3" s="11">
        <v>45536</v>
      </c>
      <c r="W3" s="11">
        <v>45505</v>
      </c>
      <c r="Y3" s="11">
        <v>45474</v>
      </c>
      <c r="AA3" s="11">
        <v>45444</v>
      </c>
      <c r="AC3" s="11">
        <v>45413</v>
      </c>
      <c r="AE3" s="11">
        <v>45383</v>
      </c>
      <c r="AG3" s="11">
        <v>45352</v>
      </c>
      <c r="AI3" s="11">
        <v>45323</v>
      </c>
      <c r="AK3" s="11">
        <v>45292</v>
      </c>
      <c r="AM3" s="11">
        <v>45261</v>
      </c>
      <c r="AO3" s="11" t="s">
        <v>4</v>
      </c>
      <c r="AQ3" s="12"/>
      <c r="AR3" s="13"/>
      <c r="AS3" s="13"/>
    </row>
    <row r="4" spans="2:45" s="10" customFormat="1" ht="6.75" customHeight="1" x14ac:dyDescent="0.3">
      <c r="B4" s="8"/>
      <c r="C4" s="9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4"/>
      <c r="AK4" s="14"/>
      <c r="AM4" s="14"/>
      <c r="AO4" s="14"/>
      <c r="AQ4" s="12"/>
      <c r="AR4" s="13"/>
      <c r="AS4" s="13"/>
    </row>
    <row r="5" spans="2:45" ht="15" thickBot="1" x14ac:dyDescent="0.35">
      <c r="B5" s="15" t="s">
        <v>5</v>
      </c>
      <c r="C5" s="16" t="s">
        <v>6</v>
      </c>
      <c r="D5" s="17"/>
      <c r="E5" s="18"/>
      <c r="F5" s="18"/>
      <c r="G5" s="19">
        <f>[1]Recebíveis!H9</f>
        <v>10880609.829999998</v>
      </c>
      <c r="H5" s="20"/>
      <c r="I5" s="21">
        <v>11508217.679999998</v>
      </c>
      <c r="J5" s="20"/>
      <c r="K5" s="21">
        <v>11288902.080000006</v>
      </c>
      <c r="L5" s="20"/>
      <c r="M5" s="21">
        <v>11254268.670000004</v>
      </c>
      <c r="N5" s="20"/>
      <c r="O5" s="21">
        <v>11242335.010000011</v>
      </c>
      <c r="P5" s="20"/>
      <c r="Q5" s="21">
        <v>11409492.619999997</v>
      </c>
      <c r="R5" s="20"/>
      <c r="S5" s="21">
        <v>10706544.65</v>
      </c>
      <c r="T5" s="20"/>
      <c r="U5" s="21">
        <v>10200803.119999995</v>
      </c>
      <c r="V5" s="20"/>
      <c r="W5" s="21">
        <v>10170695.680000002</v>
      </c>
      <c r="X5" s="20"/>
      <c r="Y5" s="21">
        <v>10462561.890000002</v>
      </c>
      <c r="Z5" s="20"/>
      <c r="AA5" s="21">
        <v>9091302.8900000025</v>
      </c>
      <c r="AB5" s="20"/>
      <c r="AC5" s="21">
        <v>8460687.2799999844</v>
      </c>
      <c r="AD5" s="20"/>
      <c r="AE5" s="21">
        <v>8965353.7399999965</v>
      </c>
      <c r="AF5" s="20"/>
      <c r="AG5" s="21">
        <v>9007372.3700000029</v>
      </c>
      <c r="AH5" s="20"/>
      <c r="AI5" s="21">
        <v>8725951.6599999964</v>
      </c>
      <c r="AJ5" s="20"/>
      <c r="AK5" s="21">
        <v>8728445.6300000008</v>
      </c>
      <c r="AL5" s="20"/>
      <c r="AM5" s="21">
        <v>8739477.7799999975</v>
      </c>
      <c r="AN5" s="22"/>
      <c r="AO5" s="21">
        <v>8491468.2400000021</v>
      </c>
      <c r="AQ5" s="12"/>
      <c r="AR5" s="3" t="s">
        <v>7</v>
      </c>
      <c r="AS5" s="23">
        <v>45323</v>
      </c>
    </row>
    <row r="6" spans="2:45" ht="15" thickTop="1" x14ac:dyDescent="0.3">
      <c r="B6" s="24"/>
      <c r="C6" s="25" t="s">
        <v>8</v>
      </c>
      <c r="D6" s="26"/>
      <c r="E6" s="27"/>
      <c r="F6" s="27"/>
      <c r="G6" s="28">
        <f>SUMIFS([1]Recebíveis!$H:$H,[1]Recebíveis!$K:$K,"Elegível")</f>
        <v>8430898.7399999984</v>
      </c>
      <c r="H6" s="20"/>
      <c r="I6" s="29">
        <v>9068187.6599999983</v>
      </c>
      <c r="J6" s="20"/>
      <c r="K6" s="29">
        <v>8293968.6800000006</v>
      </c>
      <c r="L6" s="20"/>
      <c r="M6" s="29">
        <v>8446716.3100000005</v>
      </c>
      <c r="N6" s="20"/>
      <c r="O6" s="29">
        <v>8144077.4200000009</v>
      </c>
      <c r="P6" s="20"/>
      <c r="Q6" s="29">
        <v>8718192.2799999975</v>
      </c>
      <c r="R6" s="20"/>
      <c r="S6" s="29">
        <v>7539407.5500000007</v>
      </c>
      <c r="T6" s="20"/>
      <c r="U6" s="29">
        <v>7487613.9600000009</v>
      </c>
      <c r="V6" s="20"/>
      <c r="W6" s="29">
        <v>7469810.6100000003</v>
      </c>
      <c r="X6" s="20"/>
      <c r="Y6" s="29">
        <v>8640303.299999997</v>
      </c>
      <c r="Z6" s="20"/>
      <c r="AA6" s="29">
        <v>6671738.4000000013</v>
      </c>
      <c r="AB6" s="20"/>
      <c r="AC6" s="29">
        <v>6061919.4799999949</v>
      </c>
      <c r="AD6" s="20"/>
      <c r="AE6" s="29">
        <v>6081634.5600000005</v>
      </c>
      <c r="AF6" s="20"/>
      <c r="AG6" s="29">
        <v>6131762.9399999985</v>
      </c>
      <c r="AH6" s="20"/>
      <c r="AI6" s="29">
        <v>5417278.8099999977</v>
      </c>
      <c r="AJ6" s="20"/>
      <c r="AK6" s="29">
        <v>5873742.4500000002</v>
      </c>
      <c r="AL6" s="20"/>
      <c r="AM6" s="29">
        <v>7719515.3599999975</v>
      </c>
      <c r="AN6" s="22"/>
      <c r="AO6" s="29">
        <v>7504585.9700000025</v>
      </c>
      <c r="AQ6" s="12"/>
      <c r="AR6" s="3" t="s">
        <v>9</v>
      </c>
      <c r="AS6" s="23">
        <v>45565</v>
      </c>
    </row>
    <row r="7" spans="2:45" x14ac:dyDescent="0.3">
      <c r="B7" s="24"/>
      <c r="C7" s="30" t="s">
        <v>10</v>
      </c>
      <c r="D7" s="31"/>
      <c r="E7" s="32"/>
      <c r="F7" s="32"/>
      <c r="G7" s="33">
        <f>SUMIFS([1]Recebíveis!$H:$H,[1]Recebíveis!$K:$K,"Inelegível")</f>
        <v>2449711.0899999994</v>
      </c>
      <c r="H7" s="20"/>
      <c r="I7" s="34">
        <v>2440030.0200000005</v>
      </c>
      <c r="J7" s="20"/>
      <c r="K7" s="34">
        <v>2994933.3999999994</v>
      </c>
      <c r="L7" s="20"/>
      <c r="M7" s="34">
        <v>2807552.36</v>
      </c>
      <c r="N7" s="20"/>
      <c r="O7" s="34">
        <v>3098257.5899999975</v>
      </c>
      <c r="P7" s="20"/>
      <c r="Q7" s="34">
        <v>2691300.3400000003</v>
      </c>
      <c r="R7" s="20"/>
      <c r="S7" s="34">
        <v>3167137.1</v>
      </c>
      <c r="T7" s="20"/>
      <c r="U7" s="34">
        <v>2713189.1600000015</v>
      </c>
      <c r="V7" s="20"/>
      <c r="W7" s="34">
        <v>2700885.0699999989</v>
      </c>
      <c r="X7" s="20"/>
      <c r="Y7" s="34">
        <v>1822258.5900000003</v>
      </c>
      <c r="Z7" s="20"/>
      <c r="AA7" s="34">
        <v>2419564.4899999984</v>
      </c>
      <c r="AB7" s="20"/>
      <c r="AC7" s="34">
        <v>2398767.7999999989</v>
      </c>
      <c r="AD7" s="20"/>
      <c r="AE7" s="34">
        <v>2883719.1800000016</v>
      </c>
      <c r="AF7" s="20"/>
      <c r="AG7" s="34">
        <v>2875609.4300000016</v>
      </c>
      <c r="AH7" s="20"/>
      <c r="AI7" s="34">
        <v>3308672.8500000015</v>
      </c>
      <c r="AJ7" s="20"/>
      <c r="AK7" s="34">
        <v>2854703.1800000011</v>
      </c>
      <c r="AL7" s="20"/>
      <c r="AM7" s="34">
        <v>1019962.42</v>
      </c>
      <c r="AN7" s="22"/>
      <c r="AO7" s="34">
        <v>986882.2699999999</v>
      </c>
      <c r="AQ7" s="12"/>
    </row>
    <row r="8" spans="2:45" x14ac:dyDescent="0.3">
      <c r="B8" s="24"/>
      <c r="C8" s="35" t="s">
        <v>11</v>
      </c>
      <c r="D8" s="31"/>
      <c r="E8" s="32"/>
      <c r="F8" s="32"/>
      <c r="G8" s="33"/>
      <c r="I8" s="34"/>
      <c r="K8" s="34"/>
      <c r="M8" s="34"/>
      <c r="O8" s="34"/>
      <c r="Q8" s="34"/>
      <c r="S8" s="34"/>
      <c r="U8" s="34"/>
      <c r="W8" s="34"/>
      <c r="Y8" s="34"/>
      <c r="AA8" s="34"/>
      <c r="AC8" s="34"/>
      <c r="AE8" s="34"/>
      <c r="AG8" s="34"/>
      <c r="AI8" s="34"/>
      <c r="AK8" s="34"/>
      <c r="AM8" s="34"/>
      <c r="AN8" s="36"/>
      <c r="AO8" s="34"/>
      <c r="AQ8" s="12"/>
    </row>
    <row r="9" spans="2:45" x14ac:dyDescent="0.3">
      <c r="B9" s="24"/>
      <c r="C9" s="35"/>
      <c r="D9" s="31"/>
      <c r="E9" s="32"/>
      <c r="F9" s="32"/>
      <c r="G9" s="33"/>
      <c r="I9" s="34"/>
      <c r="K9" s="34"/>
      <c r="M9" s="34"/>
      <c r="O9" s="34"/>
      <c r="Q9" s="34"/>
      <c r="S9" s="34"/>
      <c r="U9" s="34"/>
      <c r="W9" s="34"/>
      <c r="Y9" s="34"/>
      <c r="AA9" s="34"/>
      <c r="AC9" s="34"/>
      <c r="AE9" s="34"/>
      <c r="AG9" s="34"/>
      <c r="AI9" s="34"/>
      <c r="AK9" s="34"/>
      <c r="AM9" s="34"/>
      <c r="AN9" s="36"/>
      <c r="AO9" s="34"/>
      <c r="AQ9" s="12"/>
    </row>
    <row r="10" spans="2:45" ht="15" thickBot="1" x14ac:dyDescent="0.35">
      <c r="B10" s="15" t="s">
        <v>12</v>
      </c>
      <c r="C10" s="16" t="s">
        <v>13</v>
      </c>
      <c r="D10" s="17"/>
      <c r="E10" s="18"/>
      <c r="F10" s="18"/>
      <c r="G10" s="19">
        <f>[1]Recebíveis!J9</f>
        <v>10292984.82269888</v>
      </c>
      <c r="I10" s="21">
        <v>10805755.413600739</v>
      </c>
      <c r="K10" s="21">
        <v>10497042.622424873</v>
      </c>
      <c r="M10" s="21">
        <v>10852819.066364557</v>
      </c>
      <c r="O10" s="21">
        <v>10742788.116758298</v>
      </c>
      <c r="Q10" s="21">
        <v>10816236.931605887</v>
      </c>
      <c r="S10" s="21">
        <v>10058162.67101826</v>
      </c>
      <c r="U10" s="21">
        <v>9466394.6183260866</v>
      </c>
      <c r="W10" s="21">
        <v>9354433.037903171</v>
      </c>
      <c r="Y10" s="21">
        <v>9558545.7113422602</v>
      </c>
      <c r="AA10" s="21">
        <v>8229927.2188359918</v>
      </c>
      <c r="AC10" s="21">
        <v>7593613.5138653386</v>
      </c>
      <c r="AE10" s="21">
        <v>8101119.2859369321</v>
      </c>
      <c r="AG10" s="21">
        <v>8086050.4821404088</v>
      </c>
      <c r="AI10" s="21">
        <v>7712137.6226186976</v>
      </c>
      <c r="AK10" s="21">
        <v>7732173.4124777801</v>
      </c>
      <c r="AM10" s="21">
        <v>7743205.5624777814</v>
      </c>
      <c r="AN10" s="36"/>
      <c r="AO10" s="21">
        <v>7752720.8768320736</v>
      </c>
    </row>
    <row r="11" spans="2:45" ht="15" thickTop="1" x14ac:dyDescent="0.3">
      <c r="B11" s="24"/>
      <c r="C11" s="25" t="s">
        <v>8</v>
      </c>
      <c r="D11" s="26"/>
      <c r="E11" s="27"/>
      <c r="F11" s="27"/>
      <c r="G11" s="28">
        <f>SUMIFS([1]Recebíveis!$J:$J,[1]Recebíveis!$K:$K,"Elegível")</f>
        <v>7974859.6478499444</v>
      </c>
      <c r="I11" s="29">
        <v>8539933.2303386405</v>
      </c>
      <c r="K11" s="29">
        <v>7704654.4232649654</v>
      </c>
      <c r="M11" s="29">
        <v>8142001.5449969554</v>
      </c>
      <c r="O11" s="29">
        <v>7790788.7155634472</v>
      </c>
      <c r="Q11" s="29">
        <v>8274545.2346480079</v>
      </c>
      <c r="S11" s="29">
        <v>7090243.6610211637</v>
      </c>
      <c r="U11" s="29">
        <v>6937290.4987699073</v>
      </c>
      <c r="W11" s="29">
        <v>6857927.4097335069</v>
      </c>
      <c r="Y11" s="29">
        <v>7880673.217150284</v>
      </c>
      <c r="AA11" s="29">
        <v>6014288.1335276589</v>
      </c>
      <c r="AC11" s="29">
        <v>5415932.9587753825</v>
      </c>
      <c r="AE11" s="29">
        <v>5484672.2769611776</v>
      </c>
      <c r="AG11" s="29">
        <v>5498781.414539122</v>
      </c>
      <c r="AI11" s="29">
        <v>4781930.8836583821</v>
      </c>
      <c r="AK11" s="29">
        <v>4248046.5280689355</v>
      </c>
      <c r="AM11" s="29">
        <v>6837564.2507736832</v>
      </c>
      <c r="AN11" s="36"/>
      <c r="AO11" s="29">
        <v>6832404.195868046</v>
      </c>
    </row>
    <row r="12" spans="2:45" x14ac:dyDescent="0.3">
      <c r="B12" s="24"/>
      <c r="C12" s="30" t="s">
        <v>10</v>
      </c>
      <c r="D12" s="31"/>
      <c r="E12" s="32"/>
      <c r="F12" s="32"/>
      <c r="G12" s="33">
        <f>SUMIFS([1]Recebíveis!$J:$J,[1]Recebíveis!$K:$K,"Inelegível")</f>
        <v>2318125.1748489328</v>
      </c>
      <c r="I12" s="34">
        <v>2265822.1832620981</v>
      </c>
      <c r="K12" s="34">
        <v>2792388.199159903</v>
      </c>
      <c r="M12" s="34">
        <v>2710817.5213676002</v>
      </c>
      <c r="O12" s="34">
        <v>2951999.4011948477</v>
      </c>
      <c r="Q12" s="34">
        <v>2541691.6969578783</v>
      </c>
      <c r="S12" s="34">
        <v>2967919.0099970931</v>
      </c>
      <c r="U12" s="34">
        <v>2529104.1195561788</v>
      </c>
      <c r="W12" s="34">
        <v>2496505.6281696628</v>
      </c>
      <c r="Y12" s="34">
        <v>1677872.4941919739</v>
      </c>
      <c r="AA12" s="34">
        <v>2215639.0853083343</v>
      </c>
      <c r="AC12" s="34">
        <v>2177680.5550899529</v>
      </c>
      <c r="AE12" s="34">
        <v>2616447.0089757573</v>
      </c>
      <c r="AG12" s="34">
        <v>2587269.0676012854</v>
      </c>
      <c r="AI12" s="34">
        <v>2930206.7389603136</v>
      </c>
      <c r="AK12" s="34">
        <v>3484126.8844088451</v>
      </c>
      <c r="AM12" s="34">
        <v>905641.31170409801</v>
      </c>
      <c r="AN12" s="36"/>
      <c r="AO12" s="34">
        <v>920316.68096402753</v>
      </c>
    </row>
    <row r="13" spans="2:45" x14ac:dyDescent="0.3">
      <c r="B13" s="24"/>
      <c r="C13" s="35" t="s">
        <v>11</v>
      </c>
      <c r="D13" s="31"/>
      <c r="E13" s="32"/>
      <c r="F13" s="32"/>
      <c r="G13" s="33"/>
      <c r="I13" s="34"/>
      <c r="K13" s="34"/>
      <c r="M13" s="34"/>
      <c r="O13" s="34"/>
      <c r="Q13" s="34"/>
      <c r="S13" s="34"/>
      <c r="U13" s="34"/>
      <c r="W13" s="34"/>
      <c r="Y13" s="34"/>
      <c r="AA13" s="34"/>
      <c r="AC13" s="34"/>
      <c r="AE13" s="34"/>
      <c r="AG13" s="34"/>
      <c r="AI13" s="34"/>
      <c r="AK13" s="34"/>
      <c r="AM13" s="34"/>
      <c r="AN13" s="36"/>
      <c r="AO13" s="34"/>
    </row>
    <row r="14" spans="2:45" x14ac:dyDescent="0.3">
      <c r="B14" s="24"/>
      <c r="C14" s="35"/>
      <c r="D14" s="31"/>
      <c r="E14" s="32"/>
      <c r="F14" s="32"/>
      <c r="G14" s="33"/>
      <c r="I14" s="34"/>
      <c r="K14" s="34"/>
      <c r="M14" s="34"/>
      <c r="O14" s="34"/>
      <c r="Q14" s="34"/>
      <c r="S14" s="34"/>
      <c r="U14" s="34"/>
      <c r="W14" s="34"/>
      <c r="Y14" s="34"/>
      <c r="AA14" s="34"/>
      <c r="AC14" s="34"/>
      <c r="AE14" s="34"/>
      <c r="AG14" s="34"/>
      <c r="AI14" s="34"/>
      <c r="AK14" s="34"/>
      <c r="AM14" s="34"/>
      <c r="AN14" s="36"/>
      <c r="AO14" s="34"/>
    </row>
    <row r="15" spans="2:45" ht="15" thickBot="1" x14ac:dyDescent="0.35">
      <c r="B15" s="15" t="s">
        <v>14</v>
      </c>
      <c r="C15" s="16" t="s">
        <v>15</v>
      </c>
      <c r="D15" s="17"/>
      <c r="E15" s="18"/>
      <c r="F15" s="18"/>
      <c r="G15" s="37">
        <f>G16+G19+G20+G21</f>
        <v>99</v>
      </c>
      <c r="H15" s="20"/>
      <c r="I15" s="38">
        <v>99</v>
      </c>
      <c r="J15" s="20"/>
      <c r="K15" s="38">
        <v>99</v>
      </c>
      <c r="L15" s="20"/>
      <c r="M15" s="38">
        <v>99</v>
      </c>
      <c r="N15" s="20"/>
      <c r="O15" s="38">
        <v>99</v>
      </c>
      <c r="P15" s="20"/>
      <c r="Q15" s="38">
        <v>99</v>
      </c>
      <c r="R15" s="20"/>
      <c r="S15" s="38">
        <v>99</v>
      </c>
      <c r="T15" s="20"/>
      <c r="U15" s="38">
        <v>99</v>
      </c>
      <c r="V15" s="20"/>
      <c r="W15" s="38">
        <v>99</v>
      </c>
      <c r="X15" s="20"/>
      <c r="Y15" s="38">
        <v>99</v>
      </c>
      <c r="Z15" s="20"/>
      <c r="AA15" s="38">
        <v>99</v>
      </c>
      <c r="AB15" s="20"/>
      <c r="AC15" s="38">
        <v>99</v>
      </c>
      <c r="AD15" s="20"/>
      <c r="AE15" s="38">
        <v>99</v>
      </c>
      <c r="AF15" s="20"/>
      <c r="AG15" s="38">
        <v>99</v>
      </c>
      <c r="AH15" s="20"/>
      <c r="AI15" s="38">
        <v>99</v>
      </c>
      <c r="AJ15" s="20"/>
      <c r="AK15" s="38">
        <v>99</v>
      </c>
      <c r="AL15" s="20"/>
      <c r="AM15" s="38">
        <v>99</v>
      </c>
      <c r="AN15" s="22"/>
      <c r="AO15" s="38">
        <v>99</v>
      </c>
    </row>
    <row r="16" spans="2:45" ht="15" thickTop="1" x14ac:dyDescent="0.3">
      <c r="B16" s="24"/>
      <c r="C16" s="25" t="s">
        <v>16</v>
      </c>
      <c r="D16" s="26"/>
      <c r="E16" s="27"/>
      <c r="F16" s="27"/>
      <c r="G16" s="39">
        <f>SUM(G17:G18)</f>
        <v>22</v>
      </c>
      <c r="I16" s="40">
        <v>22</v>
      </c>
      <c r="K16" s="40">
        <v>22</v>
      </c>
      <c r="M16" s="40">
        <v>22</v>
      </c>
      <c r="O16" s="40">
        <v>22</v>
      </c>
      <c r="Q16" s="40">
        <v>22</v>
      </c>
      <c r="S16" s="40">
        <v>21</v>
      </c>
      <c r="U16" s="40">
        <v>20</v>
      </c>
      <c r="W16" s="40">
        <v>20</v>
      </c>
      <c r="Y16" s="40">
        <v>20</v>
      </c>
      <c r="AA16" s="40">
        <v>18</v>
      </c>
      <c r="AC16" s="40">
        <v>17</v>
      </c>
      <c r="AE16" s="40">
        <v>18</v>
      </c>
      <c r="AG16" s="40">
        <v>18</v>
      </c>
      <c r="AI16" s="40">
        <v>18</v>
      </c>
      <c r="AK16" s="40">
        <v>18</v>
      </c>
      <c r="AM16" s="40">
        <v>18</v>
      </c>
      <c r="AN16" s="36"/>
      <c r="AO16" s="40">
        <v>18</v>
      </c>
    </row>
    <row r="17" spans="2:41" x14ac:dyDescent="0.3">
      <c r="B17" s="24"/>
      <c r="C17" s="41" t="s">
        <v>8</v>
      </c>
      <c r="D17" s="31"/>
      <c r="E17" s="32"/>
      <c r="F17" s="32"/>
      <c r="G17" s="42">
        <f>COUNTIFS([1]Aging_Recebíveis!BP:OC,"ELEGÍVEL")</f>
        <v>18</v>
      </c>
      <c r="I17" s="43">
        <v>18</v>
      </c>
      <c r="K17" s="43">
        <v>17</v>
      </c>
      <c r="M17" s="43">
        <v>17</v>
      </c>
      <c r="O17" s="43">
        <v>16</v>
      </c>
      <c r="Q17" s="43">
        <v>17</v>
      </c>
      <c r="S17" s="43">
        <v>15</v>
      </c>
      <c r="U17" s="43">
        <v>15</v>
      </c>
      <c r="W17" s="43">
        <v>15</v>
      </c>
      <c r="Y17" s="43">
        <v>17</v>
      </c>
      <c r="AA17" s="43">
        <v>14</v>
      </c>
      <c r="AC17" s="43">
        <v>13</v>
      </c>
      <c r="AE17" s="43">
        <v>13</v>
      </c>
      <c r="AG17" s="43">
        <v>13</v>
      </c>
      <c r="AI17" s="43">
        <v>12</v>
      </c>
      <c r="AK17" s="43">
        <v>13</v>
      </c>
      <c r="AM17" s="43">
        <v>16</v>
      </c>
      <c r="AN17" s="36"/>
      <c r="AO17" s="43">
        <v>16</v>
      </c>
    </row>
    <row r="18" spans="2:41" x14ac:dyDescent="0.3">
      <c r="B18" s="24"/>
      <c r="C18" s="41" t="s">
        <v>10</v>
      </c>
      <c r="D18" s="31"/>
      <c r="E18" s="32"/>
      <c r="F18" s="32"/>
      <c r="G18" s="42">
        <f>COUNTIFS([1]Aging_Recebíveis!BP:OC,"INELEGÍVEL")</f>
        <v>4</v>
      </c>
      <c r="I18" s="44">
        <v>4</v>
      </c>
      <c r="K18" s="44">
        <v>5</v>
      </c>
      <c r="M18" s="44">
        <v>5</v>
      </c>
      <c r="O18" s="44">
        <v>6</v>
      </c>
      <c r="Q18" s="44">
        <v>5</v>
      </c>
      <c r="S18" s="44">
        <v>6</v>
      </c>
      <c r="U18" s="44">
        <v>5</v>
      </c>
      <c r="W18" s="44">
        <v>5</v>
      </c>
      <c r="Y18" s="44">
        <v>3</v>
      </c>
      <c r="AA18" s="44">
        <v>4</v>
      </c>
      <c r="AC18" s="44">
        <v>4</v>
      </c>
      <c r="AE18" s="44">
        <v>5</v>
      </c>
      <c r="AG18" s="44">
        <v>5</v>
      </c>
      <c r="AI18" s="44">
        <v>6</v>
      </c>
      <c r="AK18" s="44">
        <v>5</v>
      </c>
      <c r="AM18" s="44">
        <v>2</v>
      </c>
      <c r="AN18" s="36"/>
      <c r="AO18" s="44">
        <v>2</v>
      </c>
    </row>
    <row r="19" spans="2:41" x14ac:dyDescent="0.3">
      <c r="B19" s="24"/>
      <c r="C19" s="30" t="s">
        <v>17</v>
      </c>
      <c r="D19" s="31"/>
      <c r="E19" s="32"/>
      <c r="F19" s="32"/>
      <c r="G19" s="45">
        <f>COUNTIFS([1]Estoque!$J:$J,"Quitado")</f>
        <v>5</v>
      </c>
      <c r="I19" s="46">
        <v>4</v>
      </c>
      <c r="K19" s="46">
        <v>4</v>
      </c>
      <c r="M19" s="46">
        <v>4</v>
      </c>
      <c r="O19" s="46">
        <v>4</v>
      </c>
      <c r="Q19" s="46">
        <v>4</v>
      </c>
      <c r="S19" s="46">
        <v>4</v>
      </c>
      <c r="U19" s="46">
        <v>4</v>
      </c>
      <c r="W19" s="46">
        <v>4</v>
      </c>
      <c r="Y19" s="46">
        <v>4</v>
      </c>
      <c r="AA19" s="46">
        <v>4</v>
      </c>
      <c r="AC19" s="46">
        <v>4</v>
      </c>
      <c r="AE19" s="46">
        <v>4</v>
      </c>
      <c r="AG19" s="46">
        <v>4</v>
      </c>
      <c r="AI19" s="46">
        <v>4</v>
      </c>
      <c r="AK19" s="46">
        <v>4</v>
      </c>
      <c r="AM19" s="46">
        <v>4</v>
      </c>
      <c r="AN19" s="36"/>
      <c r="AO19" s="46">
        <v>4</v>
      </c>
    </row>
    <row r="20" spans="2:41" x14ac:dyDescent="0.3">
      <c r="B20" s="24"/>
      <c r="C20" s="30" t="s">
        <v>18</v>
      </c>
      <c r="D20" s="31"/>
      <c r="E20" s="32"/>
      <c r="F20" s="32"/>
      <c r="G20" s="45">
        <f>COUNTIFS([1]Estoque!$J:$J,"Disponível")</f>
        <v>68</v>
      </c>
      <c r="H20" s="20"/>
      <c r="I20" s="46">
        <v>69</v>
      </c>
      <c r="J20" s="20"/>
      <c r="K20" s="46">
        <v>69</v>
      </c>
      <c r="L20" s="20"/>
      <c r="M20" s="46">
        <v>69</v>
      </c>
      <c r="N20" s="20"/>
      <c r="O20" s="46">
        <v>69</v>
      </c>
      <c r="P20" s="20"/>
      <c r="Q20" s="46">
        <v>69</v>
      </c>
      <c r="R20" s="20"/>
      <c r="S20" s="46">
        <v>70</v>
      </c>
      <c r="T20" s="20"/>
      <c r="U20" s="46">
        <v>71</v>
      </c>
      <c r="V20" s="20"/>
      <c r="W20" s="46">
        <v>71</v>
      </c>
      <c r="X20" s="20"/>
      <c r="Y20" s="46">
        <v>71</v>
      </c>
      <c r="Z20" s="20"/>
      <c r="AA20" s="46">
        <v>73</v>
      </c>
      <c r="AB20" s="20"/>
      <c r="AC20" s="46">
        <v>74</v>
      </c>
      <c r="AD20" s="20"/>
      <c r="AE20" s="46">
        <v>73</v>
      </c>
      <c r="AF20" s="20"/>
      <c r="AG20" s="46">
        <v>73</v>
      </c>
      <c r="AH20" s="20"/>
      <c r="AI20" s="46">
        <v>73</v>
      </c>
      <c r="AJ20" s="20"/>
      <c r="AK20" s="46">
        <v>73</v>
      </c>
      <c r="AL20" s="20"/>
      <c r="AM20" s="46">
        <v>73</v>
      </c>
      <c r="AN20" s="22"/>
      <c r="AO20" s="46">
        <v>73</v>
      </c>
    </row>
    <row r="21" spans="2:41" x14ac:dyDescent="0.3">
      <c r="B21" s="24"/>
      <c r="C21" s="30" t="s">
        <v>19</v>
      </c>
      <c r="D21" s="31"/>
      <c r="E21" s="32"/>
      <c r="F21" s="32"/>
      <c r="G21" s="45">
        <f>[1]Estoque!F2+[1]Estoque!F4</f>
        <v>4</v>
      </c>
      <c r="H21" s="20"/>
      <c r="I21" s="46">
        <v>4</v>
      </c>
      <c r="J21" s="20"/>
      <c r="K21" s="46">
        <v>4</v>
      </c>
      <c r="L21" s="20"/>
      <c r="M21" s="46">
        <v>4</v>
      </c>
      <c r="N21" s="20"/>
      <c r="O21" s="46">
        <v>4</v>
      </c>
      <c r="P21" s="20"/>
      <c r="Q21" s="46">
        <v>4</v>
      </c>
      <c r="R21" s="20"/>
      <c r="S21" s="46">
        <v>4</v>
      </c>
      <c r="T21" s="20"/>
      <c r="U21" s="46">
        <v>4</v>
      </c>
      <c r="V21" s="20"/>
      <c r="W21" s="46">
        <v>4</v>
      </c>
      <c r="X21" s="20"/>
      <c r="Y21" s="46">
        <v>4</v>
      </c>
      <c r="Z21" s="20"/>
      <c r="AA21" s="46">
        <v>4</v>
      </c>
      <c r="AB21" s="20"/>
      <c r="AC21" s="46">
        <v>4</v>
      </c>
      <c r="AD21" s="20"/>
      <c r="AE21" s="46">
        <v>4</v>
      </c>
      <c r="AF21" s="20"/>
      <c r="AG21" s="46">
        <v>4</v>
      </c>
      <c r="AH21" s="20"/>
      <c r="AI21" s="46">
        <v>4</v>
      </c>
      <c r="AJ21" s="20"/>
      <c r="AK21" s="46">
        <v>4</v>
      </c>
      <c r="AL21" s="20"/>
      <c r="AM21" s="46">
        <v>4</v>
      </c>
      <c r="AN21" s="22"/>
      <c r="AO21" s="46">
        <v>4</v>
      </c>
    </row>
    <row r="22" spans="2:41" x14ac:dyDescent="0.3">
      <c r="B22" s="24"/>
      <c r="C22" s="32"/>
      <c r="D22" s="32"/>
      <c r="E22" s="32"/>
      <c r="F22" s="32"/>
      <c r="G22" s="47"/>
      <c r="H22" s="20"/>
      <c r="I22" s="48"/>
      <c r="J22" s="20"/>
      <c r="K22" s="48"/>
      <c r="L22" s="20"/>
      <c r="M22" s="48"/>
      <c r="N22" s="20"/>
      <c r="O22" s="48"/>
      <c r="P22" s="20"/>
      <c r="Q22" s="48"/>
      <c r="R22" s="20"/>
      <c r="S22" s="48"/>
      <c r="T22" s="20"/>
      <c r="U22" s="48"/>
      <c r="V22" s="20"/>
      <c r="W22" s="48"/>
      <c r="X22" s="20"/>
      <c r="Y22" s="48"/>
      <c r="Z22" s="20"/>
      <c r="AA22" s="48"/>
      <c r="AB22" s="20"/>
      <c r="AC22" s="48"/>
      <c r="AD22" s="20"/>
      <c r="AE22" s="48"/>
      <c r="AF22" s="20"/>
      <c r="AG22" s="48"/>
      <c r="AH22" s="20"/>
      <c r="AI22" s="48"/>
      <c r="AJ22" s="20"/>
      <c r="AK22" s="48"/>
      <c r="AL22" s="20"/>
      <c r="AM22" s="48"/>
      <c r="AN22" s="22"/>
      <c r="AO22" s="48"/>
    </row>
    <row r="23" spans="2:41" ht="15" thickBot="1" x14ac:dyDescent="0.35">
      <c r="B23" s="15" t="s">
        <v>20</v>
      </c>
      <c r="C23" s="16" t="s">
        <v>21</v>
      </c>
      <c r="D23" s="17"/>
      <c r="E23" s="18"/>
      <c r="F23" s="18"/>
      <c r="G23" s="49">
        <f>COUNTIFS('[1]Vendas no Mês'!$G:$G,"Operação")</f>
        <v>1</v>
      </c>
      <c r="H23" s="50"/>
      <c r="I23" s="51">
        <v>1</v>
      </c>
      <c r="J23" s="50"/>
      <c r="K23" s="51">
        <v>0</v>
      </c>
      <c r="L23" s="50"/>
      <c r="M23" s="51">
        <v>0</v>
      </c>
      <c r="N23" s="50"/>
      <c r="O23" s="51">
        <v>0</v>
      </c>
      <c r="P23" s="50"/>
      <c r="Q23" s="51">
        <v>2</v>
      </c>
      <c r="R23" s="50"/>
      <c r="S23" s="51">
        <v>1</v>
      </c>
      <c r="T23" s="50"/>
      <c r="U23" s="51">
        <v>0</v>
      </c>
      <c r="V23" s="50"/>
      <c r="W23" s="51">
        <v>0</v>
      </c>
      <c r="X23" s="50"/>
      <c r="Y23" s="51">
        <v>3</v>
      </c>
      <c r="Z23" s="50"/>
      <c r="AA23" s="51">
        <v>1</v>
      </c>
      <c r="AB23" s="50"/>
      <c r="AC23" s="51">
        <v>0</v>
      </c>
      <c r="AD23" s="50"/>
      <c r="AE23" s="51">
        <v>0</v>
      </c>
      <c r="AF23" s="50"/>
      <c r="AG23" s="51">
        <v>0</v>
      </c>
      <c r="AH23" s="50"/>
      <c r="AI23" s="51">
        <v>0</v>
      </c>
      <c r="AJ23" s="50"/>
      <c r="AK23" s="51">
        <v>0</v>
      </c>
      <c r="AL23" s="50"/>
      <c r="AM23" s="51">
        <v>0</v>
      </c>
      <c r="AN23" s="52"/>
      <c r="AO23" s="51">
        <v>0</v>
      </c>
    </row>
    <row r="24" spans="2:41" ht="15" thickTop="1" x14ac:dyDescent="0.3">
      <c r="B24" s="24"/>
      <c r="C24" s="53" t="s">
        <v>22</v>
      </c>
      <c r="D24" s="32"/>
      <c r="E24" s="32"/>
      <c r="F24" s="32"/>
      <c r="G24" s="54"/>
      <c r="H24" s="20"/>
      <c r="I24" s="55"/>
      <c r="J24" s="20"/>
      <c r="K24" s="55"/>
      <c r="L24" s="20"/>
      <c r="M24" s="55"/>
      <c r="N24" s="20"/>
      <c r="O24" s="55"/>
      <c r="P24" s="20"/>
      <c r="Q24" s="55"/>
      <c r="R24" s="20"/>
      <c r="S24" s="55"/>
      <c r="T24" s="20"/>
      <c r="U24" s="55"/>
      <c r="V24" s="20"/>
      <c r="W24" s="55"/>
      <c r="X24" s="20"/>
      <c r="Y24" s="55"/>
      <c r="Z24" s="20"/>
      <c r="AA24" s="55"/>
      <c r="AB24" s="20"/>
      <c r="AC24" s="55"/>
      <c r="AD24" s="20"/>
      <c r="AE24" s="55"/>
      <c r="AF24" s="20"/>
      <c r="AG24" s="55"/>
      <c r="AH24" s="20"/>
      <c r="AI24" s="55"/>
      <c r="AJ24" s="20"/>
      <c r="AK24" s="55"/>
      <c r="AL24" s="20"/>
      <c r="AM24" s="55"/>
      <c r="AN24" s="22"/>
      <c r="AO24" s="55"/>
    </row>
    <row r="25" spans="2:41" x14ac:dyDescent="0.3">
      <c r="B25" s="24"/>
      <c r="C25" s="56"/>
      <c r="D25" s="32"/>
      <c r="E25" s="32"/>
      <c r="F25" s="32"/>
      <c r="G25" s="54"/>
      <c r="H25" s="20"/>
      <c r="I25" s="55"/>
      <c r="J25" s="20"/>
      <c r="K25" s="55"/>
      <c r="L25" s="20"/>
      <c r="M25" s="55"/>
      <c r="N25" s="20"/>
      <c r="O25" s="55"/>
      <c r="P25" s="20"/>
      <c r="Q25" s="55"/>
      <c r="R25" s="20"/>
      <c r="S25" s="55"/>
      <c r="T25" s="20"/>
      <c r="U25" s="55"/>
      <c r="V25" s="20"/>
      <c r="W25" s="55"/>
      <c r="X25" s="20"/>
      <c r="Y25" s="55"/>
      <c r="Z25" s="20"/>
      <c r="AA25" s="55"/>
      <c r="AB25" s="20"/>
      <c r="AC25" s="55"/>
      <c r="AD25" s="20"/>
      <c r="AE25" s="55"/>
      <c r="AF25" s="20"/>
      <c r="AG25" s="55"/>
      <c r="AH25" s="20"/>
      <c r="AI25" s="55"/>
      <c r="AJ25" s="20"/>
      <c r="AK25" s="55"/>
      <c r="AL25" s="20"/>
      <c r="AM25" s="55"/>
      <c r="AN25" s="22"/>
      <c r="AO25" s="55"/>
    </row>
    <row r="26" spans="2:41" ht="15" thickBot="1" x14ac:dyDescent="0.35">
      <c r="B26" s="15" t="s">
        <v>23</v>
      </c>
      <c r="C26" s="16" t="s">
        <v>24</v>
      </c>
      <c r="D26" s="17"/>
      <c r="E26" s="18"/>
      <c r="F26" s="18"/>
      <c r="G26" s="19">
        <f>SUM('[1]Vendas no Mês'!$F$10:$F$1048576)</f>
        <v>589000</v>
      </c>
      <c r="I26" s="21">
        <v>829912</v>
      </c>
      <c r="K26" s="21">
        <v>0</v>
      </c>
      <c r="M26" s="21">
        <v>0</v>
      </c>
      <c r="O26" s="21">
        <v>0</v>
      </c>
      <c r="Q26" s="21">
        <v>1156000</v>
      </c>
      <c r="S26" s="21">
        <v>550300.03</v>
      </c>
      <c r="U26" s="21">
        <v>0</v>
      </c>
      <c r="W26" s="21">
        <v>0</v>
      </c>
      <c r="Y26" s="21">
        <v>1952041.08</v>
      </c>
      <c r="AA26" s="21">
        <v>575400</v>
      </c>
      <c r="AC26" s="21">
        <v>0</v>
      </c>
      <c r="AE26" s="21">
        <v>0</v>
      </c>
      <c r="AG26" s="21">
        <v>0</v>
      </c>
      <c r="AI26" s="21">
        <v>0</v>
      </c>
      <c r="AK26" s="21">
        <v>0</v>
      </c>
      <c r="AM26" s="21">
        <v>0</v>
      </c>
      <c r="AN26" s="36"/>
      <c r="AO26" s="21">
        <v>0</v>
      </c>
    </row>
    <row r="27" spans="2:41" ht="15" thickTop="1" x14ac:dyDescent="0.3">
      <c r="B27" s="24"/>
      <c r="C27" s="56"/>
      <c r="D27" s="32"/>
      <c r="E27" s="32"/>
      <c r="F27" s="32"/>
      <c r="G27" s="54"/>
      <c r="H27" s="20"/>
      <c r="I27" s="55"/>
      <c r="J27" s="20"/>
      <c r="K27" s="55"/>
      <c r="L27" s="20"/>
      <c r="M27" s="55"/>
      <c r="N27" s="20"/>
      <c r="O27" s="55"/>
      <c r="P27" s="20"/>
      <c r="Q27" s="55"/>
      <c r="R27" s="20"/>
      <c r="S27" s="55"/>
      <c r="T27" s="20"/>
      <c r="U27" s="55"/>
      <c r="V27" s="20"/>
      <c r="W27" s="55"/>
      <c r="X27" s="20"/>
      <c r="Y27" s="55"/>
      <c r="Z27" s="20"/>
      <c r="AA27" s="55"/>
      <c r="AB27" s="20"/>
      <c r="AC27" s="55"/>
      <c r="AD27" s="20"/>
      <c r="AE27" s="55"/>
      <c r="AF27" s="20"/>
      <c r="AG27" s="55"/>
      <c r="AH27" s="20"/>
      <c r="AI27" s="55"/>
      <c r="AJ27" s="20"/>
      <c r="AK27" s="55"/>
      <c r="AL27" s="20"/>
      <c r="AM27" s="55"/>
      <c r="AN27" s="22"/>
      <c r="AO27" s="55"/>
    </row>
    <row r="28" spans="2:41" ht="15" collapsed="1" thickBot="1" x14ac:dyDescent="0.35">
      <c r="B28" s="57" t="s">
        <v>25</v>
      </c>
      <c r="C28" s="16" t="s">
        <v>26</v>
      </c>
      <c r="D28" s="58"/>
      <c r="E28" s="18"/>
      <c r="F28" s="18"/>
      <c r="G28" s="59">
        <f>COUNTIFS('[1]Distrato no Mês'!$G:$G,"Distrato")</f>
        <v>0</v>
      </c>
      <c r="I28" s="60">
        <v>1</v>
      </c>
      <c r="K28" s="60">
        <v>0</v>
      </c>
      <c r="M28" s="60">
        <v>0</v>
      </c>
      <c r="O28" s="60">
        <v>0</v>
      </c>
      <c r="Q28" s="60">
        <v>1</v>
      </c>
      <c r="S28" s="60">
        <v>0</v>
      </c>
      <c r="U28" s="60">
        <v>0</v>
      </c>
      <c r="W28" s="60">
        <v>0</v>
      </c>
      <c r="Y28" s="60">
        <v>1</v>
      </c>
      <c r="AA28" s="60">
        <v>0</v>
      </c>
      <c r="AC28" s="60">
        <v>1</v>
      </c>
      <c r="AE28" s="60">
        <v>0</v>
      </c>
      <c r="AG28" s="60">
        <v>0</v>
      </c>
      <c r="AI28" s="60">
        <v>0</v>
      </c>
      <c r="AK28" s="60">
        <v>0</v>
      </c>
      <c r="AM28" s="60">
        <v>0</v>
      </c>
      <c r="AN28" s="36"/>
      <c r="AO28" s="60">
        <v>0</v>
      </c>
    </row>
    <row r="29" spans="2:41" ht="15" thickTop="1" x14ac:dyDescent="0.3">
      <c r="B29" s="24"/>
      <c r="C29" s="32"/>
      <c r="D29" s="32"/>
      <c r="E29" s="32"/>
      <c r="F29" s="32"/>
      <c r="G29" s="47"/>
      <c r="H29" s="20"/>
      <c r="I29" s="48"/>
      <c r="J29" s="20"/>
      <c r="K29" s="48"/>
      <c r="L29" s="20"/>
      <c r="M29" s="48"/>
      <c r="N29" s="20"/>
      <c r="O29" s="48"/>
      <c r="P29" s="20"/>
      <c r="Q29" s="48"/>
      <c r="R29" s="20"/>
      <c r="S29" s="48"/>
      <c r="T29" s="20"/>
      <c r="U29" s="48"/>
      <c r="V29" s="20"/>
      <c r="W29" s="48"/>
      <c r="X29" s="20"/>
      <c r="Y29" s="48"/>
      <c r="Z29" s="20"/>
      <c r="AA29" s="48"/>
      <c r="AB29" s="20"/>
      <c r="AC29" s="48"/>
      <c r="AD29" s="20"/>
      <c r="AE29" s="48"/>
      <c r="AF29" s="20"/>
      <c r="AG29" s="48"/>
      <c r="AH29" s="20"/>
      <c r="AI29" s="48"/>
      <c r="AJ29" s="20"/>
      <c r="AK29" s="48"/>
      <c r="AL29" s="20"/>
      <c r="AM29" s="48"/>
      <c r="AN29" s="22"/>
      <c r="AO29" s="48"/>
    </row>
    <row r="30" spans="2:41" ht="15" thickBot="1" x14ac:dyDescent="0.35">
      <c r="B30" s="15" t="s">
        <v>27</v>
      </c>
      <c r="C30" s="16" t="s">
        <v>28</v>
      </c>
      <c r="D30" s="17"/>
      <c r="E30" s="18"/>
      <c r="F30" s="18"/>
      <c r="G30" s="19">
        <f>'[1]Recebimentos - Mês'!M8</f>
        <v>1273836.73</v>
      </c>
      <c r="H30" s="61"/>
      <c r="I30" s="21">
        <v>90954.650000000009</v>
      </c>
      <c r="J30" s="61"/>
      <c r="K30" s="21">
        <v>56323.049999999996</v>
      </c>
      <c r="L30" s="61"/>
      <c r="M30" s="21">
        <v>42710.289999999994</v>
      </c>
      <c r="N30" s="61"/>
      <c r="O30" s="21">
        <v>211843.27</v>
      </c>
      <c r="P30" s="61"/>
      <c r="Q30" s="21">
        <v>45314.619999999995</v>
      </c>
      <c r="R30" s="61"/>
      <c r="S30" s="21">
        <v>146200.74000000002</v>
      </c>
      <c r="T30" s="61"/>
      <c r="U30" s="21">
        <v>35427.140000000007</v>
      </c>
      <c r="V30" s="61"/>
      <c r="W30" s="21">
        <v>360132.75999999995</v>
      </c>
      <c r="X30" s="61"/>
      <c r="Y30" s="21">
        <v>47412.009999999995</v>
      </c>
      <c r="Z30" s="61"/>
      <c r="AA30" s="21">
        <v>22385.19</v>
      </c>
      <c r="AB30" s="61"/>
      <c r="AC30" s="21">
        <v>50738.8</v>
      </c>
      <c r="AD30" s="61"/>
      <c r="AE30" s="21">
        <v>67156.69</v>
      </c>
      <c r="AF30" s="61"/>
      <c r="AG30" s="21">
        <v>51691.12999999999</v>
      </c>
      <c r="AH30" s="61"/>
      <c r="AI30" s="21">
        <v>54204.350000000006</v>
      </c>
      <c r="AJ30" s="61"/>
      <c r="AK30" s="21">
        <v>30900.410000000003</v>
      </c>
      <c r="AL30" s="61"/>
      <c r="AM30" s="21">
        <v>70186.640000000014</v>
      </c>
      <c r="AN30" s="62"/>
      <c r="AO30" s="21">
        <v>0</v>
      </c>
    </row>
    <row r="31" spans="2:41" ht="15" thickTop="1" x14ac:dyDescent="0.3">
      <c r="B31" s="24"/>
      <c r="C31" s="56"/>
      <c r="D31" s="63"/>
      <c r="E31" s="32"/>
      <c r="F31" s="32"/>
      <c r="G31" s="64"/>
      <c r="H31" s="61"/>
      <c r="I31" s="65"/>
      <c r="J31" s="61"/>
      <c r="K31" s="65"/>
      <c r="L31" s="61"/>
      <c r="M31" s="65"/>
      <c r="N31" s="61"/>
      <c r="O31" s="65"/>
      <c r="P31" s="61"/>
      <c r="Q31" s="65"/>
      <c r="R31" s="61"/>
      <c r="S31" s="65"/>
      <c r="T31" s="61"/>
      <c r="U31" s="65"/>
      <c r="V31" s="61"/>
      <c r="W31" s="65"/>
      <c r="X31" s="61"/>
      <c r="Y31" s="65"/>
      <c r="Z31" s="61"/>
      <c r="AA31" s="65"/>
      <c r="AB31" s="61"/>
      <c r="AC31" s="65"/>
      <c r="AD31" s="61"/>
      <c r="AE31" s="65"/>
      <c r="AF31" s="61"/>
      <c r="AG31" s="65"/>
      <c r="AH31" s="61"/>
      <c r="AI31" s="65"/>
      <c r="AJ31" s="61"/>
      <c r="AK31" s="65"/>
      <c r="AL31" s="61"/>
      <c r="AM31" s="65"/>
      <c r="AN31" s="62"/>
      <c r="AO31" s="65"/>
    </row>
    <row r="32" spans="2:41" ht="15" thickBot="1" x14ac:dyDescent="0.35">
      <c r="B32" s="24"/>
      <c r="C32" s="66" t="s">
        <v>29</v>
      </c>
      <c r="D32" s="67"/>
      <c r="E32" s="68"/>
      <c r="F32" s="68"/>
      <c r="G32" s="69">
        <f>G33+G34+G35</f>
        <v>1273836.73</v>
      </c>
      <c r="H32" s="61"/>
      <c r="I32" s="70">
        <v>90954.65</v>
      </c>
      <c r="J32" s="61"/>
      <c r="K32" s="70">
        <v>56323.049999999996</v>
      </c>
      <c r="L32" s="61"/>
      <c r="M32" s="70">
        <v>42710.289999999994</v>
      </c>
      <c r="N32" s="61"/>
      <c r="O32" s="70">
        <v>211843.27</v>
      </c>
      <c r="P32" s="61"/>
      <c r="Q32" s="70">
        <v>45314.619999999995</v>
      </c>
      <c r="R32" s="61"/>
      <c r="S32" s="70">
        <v>146200.74000000002</v>
      </c>
      <c r="T32" s="61"/>
      <c r="U32" s="70">
        <v>35427.140000000007</v>
      </c>
      <c r="V32" s="61"/>
      <c r="W32" s="70">
        <v>360132.75999999995</v>
      </c>
      <c r="X32" s="61"/>
      <c r="Y32" s="70">
        <v>47412.01</v>
      </c>
      <c r="Z32" s="61"/>
      <c r="AA32" s="70">
        <v>22385.19</v>
      </c>
      <c r="AB32" s="61"/>
      <c r="AC32" s="70">
        <v>49775.54</v>
      </c>
      <c r="AD32" s="61"/>
      <c r="AE32" s="70">
        <v>67156.69</v>
      </c>
      <c r="AF32" s="61"/>
      <c r="AG32" s="70">
        <v>51691.12999999999</v>
      </c>
      <c r="AH32" s="61"/>
      <c r="AI32" s="70">
        <v>54204.350000000006</v>
      </c>
      <c r="AJ32" s="61"/>
      <c r="AK32" s="70">
        <v>30900.410000000003</v>
      </c>
      <c r="AL32" s="61"/>
      <c r="AM32" s="70">
        <v>30102.449999999997</v>
      </c>
      <c r="AN32" s="62"/>
      <c r="AO32" s="70">
        <v>0</v>
      </c>
    </row>
    <row r="33" spans="2:41" x14ac:dyDescent="0.3">
      <c r="B33" s="71"/>
      <c r="C33" s="72" t="s">
        <v>30</v>
      </c>
      <c r="D33" s="73"/>
      <c r="E33" s="74"/>
      <c r="F33" s="74"/>
      <c r="G33" s="75">
        <f>SUMIFS('[1]Recebimentos - Mês'!$M:$M,'[1]Recebimentos - Mês'!$O:$O,"mês",'[1]Recebimentos - Mês'!$L:$L,'Visão Geral'!G3)</f>
        <v>321695.01</v>
      </c>
      <c r="H33" s="61"/>
      <c r="I33" s="76">
        <v>33970.86</v>
      </c>
      <c r="J33" s="61"/>
      <c r="K33" s="76">
        <v>51090.189999999995</v>
      </c>
      <c r="L33" s="61"/>
      <c r="M33" s="76">
        <v>40472.549999999996</v>
      </c>
      <c r="N33" s="61"/>
      <c r="O33" s="76">
        <v>200311.31</v>
      </c>
      <c r="P33" s="61"/>
      <c r="Q33" s="76">
        <v>31856.34</v>
      </c>
      <c r="R33" s="61"/>
      <c r="S33" s="76">
        <v>79765.06</v>
      </c>
      <c r="T33" s="61"/>
      <c r="U33" s="76">
        <v>29362.790000000005</v>
      </c>
      <c r="V33" s="61"/>
      <c r="W33" s="76">
        <v>323586.00999999995</v>
      </c>
      <c r="X33" s="61"/>
      <c r="Y33" s="76">
        <v>45257.82</v>
      </c>
      <c r="Z33" s="61"/>
      <c r="AA33" s="76">
        <v>20243</v>
      </c>
      <c r="AB33" s="61"/>
      <c r="AC33" s="76">
        <v>47642.74</v>
      </c>
      <c r="AD33" s="61"/>
      <c r="AE33" s="76">
        <v>65078.559999999998</v>
      </c>
      <c r="AF33" s="61"/>
      <c r="AG33" s="76">
        <v>51691.12999999999</v>
      </c>
      <c r="AH33" s="61"/>
      <c r="AI33" s="76">
        <v>53552.69</v>
      </c>
      <c r="AJ33" s="61"/>
      <c r="AK33" s="76">
        <v>30900.410000000003</v>
      </c>
      <c r="AL33" s="61"/>
      <c r="AM33" s="76">
        <v>30102.449999999997</v>
      </c>
      <c r="AN33" s="62"/>
      <c r="AO33" s="76">
        <v>0</v>
      </c>
    </row>
    <row r="34" spans="2:41" x14ac:dyDescent="0.3">
      <c r="B34" s="71"/>
      <c r="C34" s="30" t="s">
        <v>31</v>
      </c>
      <c r="D34" s="77"/>
      <c r="E34" s="78"/>
      <c r="F34" s="78"/>
      <c r="G34" s="79">
        <f>SUMIFS('[1]Recebimentos - Mês'!$M:$M,'[1]Recebimentos - Mês'!$O:$O,"Antecipação",'[1]Recebimentos - Mês'!$L:$L,'Visão Geral'!G3)</f>
        <v>352141.72</v>
      </c>
      <c r="H34" s="61"/>
      <c r="I34" s="80">
        <v>56983.79</v>
      </c>
      <c r="J34" s="61"/>
      <c r="K34" s="80">
        <v>0</v>
      </c>
      <c r="L34" s="61"/>
      <c r="M34" s="80">
        <v>0</v>
      </c>
      <c r="N34" s="61"/>
      <c r="O34" s="80">
        <v>9309.27</v>
      </c>
      <c r="P34" s="61"/>
      <c r="Q34" s="80">
        <v>6806.2199999999993</v>
      </c>
      <c r="R34" s="61"/>
      <c r="S34" s="80">
        <v>64351.45</v>
      </c>
      <c r="T34" s="61"/>
      <c r="U34" s="80">
        <v>6064.35</v>
      </c>
      <c r="V34" s="61"/>
      <c r="W34" s="80">
        <v>36546.75</v>
      </c>
      <c r="X34" s="61"/>
      <c r="Y34" s="80">
        <v>0</v>
      </c>
      <c r="Z34" s="61"/>
      <c r="AA34" s="80">
        <v>0</v>
      </c>
      <c r="AB34" s="61"/>
      <c r="AC34" s="80">
        <v>0</v>
      </c>
      <c r="AD34" s="61"/>
      <c r="AE34" s="80">
        <v>0</v>
      </c>
      <c r="AF34" s="61"/>
      <c r="AG34" s="80">
        <v>0</v>
      </c>
      <c r="AH34" s="61"/>
      <c r="AI34" s="80">
        <v>0</v>
      </c>
      <c r="AJ34" s="61"/>
      <c r="AK34" s="80">
        <v>0</v>
      </c>
      <c r="AL34" s="61"/>
      <c r="AM34" s="80">
        <v>0</v>
      </c>
      <c r="AN34" s="62"/>
      <c r="AO34" s="80">
        <v>0</v>
      </c>
    </row>
    <row r="35" spans="2:41" x14ac:dyDescent="0.3">
      <c r="B35" s="71"/>
      <c r="C35" s="30" t="s">
        <v>32</v>
      </c>
      <c r="D35" s="78"/>
      <c r="E35" s="78"/>
      <c r="F35" s="78"/>
      <c r="G35" s="79">
        <f>SUMIFS('[1]Recebimentos - Mês'!$M:$M,'[1]Recebimentos - Mês'!$O:$O,"Atraso",'[1]Recebimentos - Mês'!$L:$L,'Visão Geral'!G3)</f>
        <v>600000</v>
      </c>
      <c r="H35" s="81"/>
      <c r="I35" s="80">
        <v>0</v>
      </c>
      <c r="J35" s="81"/>
      <c r="K35" s="80">
        <v>5232.8599999999997</v>
      </c>
      <c r="L35" s="81"/>
      <c r="M35" s="80">
        <v>2237.7399999999998</v>
      </c>
      <c r="N35" s="81"/>
      <c r="O35" s="80">
        <v>2222.69</v>
      </c>
      <c r="P35" s="81"/>
      <c r="Q35" s="80">
        <v>6652.0599999999995</v>
      </c>
      <c r="R35" s="81"/>
      <c r="S35" s="80">
        <v>2084.23</v>
      </c>
      <c r="T35" s="81"/>
      <c r="U35" s="80">
        <v>0</v>
      </c>
      <c r="V35" s="81"/>
      <c r="W35" s="80">
        <v>0</v>
      </c>
      <c r="X35" s="81"/>
      <c r="Y35" s="80">
        <v>2154.19</v>
      </c>
      <c r="Z35" s="81"/>
      <c r="AA35" s="80">
        <v>2142.19</v>
      </c>
      <c r="AB35" s="81"/>
      <c r="AC35" s="80">
        <v>2132.8000000000002</v>
      </c>
      <c r="AD35" s="81"/>
      <c r="AE35" s="80">
        <v>2078.13</v>
      </c>
      <c r="AF35" s="81"/>
      <c r="AG35" s="80">
        <v>0</v>
      </c>
      <c r="AH35" s="81"/>
      <c r="AI35" s="80">
        <v>651.66</v>
      </c>
      <c r="AJ35" s="81"/>
      <c r="AK35" s="80">
        <v>0</v>
      </c>
      <c r="AL35" s="81"/>
      <c r="AM35" s="80">
        <v>0</v>
      </c>
      <c r="AN35" s="82"/>
      <c r="AO35" s="80">
        <v>0</v>
      </c>
    </row>
    <row r="36" spans="2:41" x14ac:dyDescent="0.3">
      <c r="B36" s="71"/>
      <c r="C36" s="30"/>
      <c r="D36" s="78"/>
      <c r="E36" s="78"/>
      <c r="F36" s="78"/>
      <c r="G36" s="79"/>
      <c r="H36" s="81"/>
      <c r="I36" s="80"/>
      <c r="J36" s="81"/>
      <c r="K36" s="80"/>
      <c r="L36" s="81"/>
      <c r="M36" s="80"/>
      <c r="N36" s="81"/>
      <c r="O36" s="80"/>
      <c r="P36" s="81"/>
      <c r="Q36" s="80"/>
      <c r="R36" s="81"/>
      <c r="S36" s="80"/>
      <c r="T36" s="81"/>
      <c r="U36" s="80"/>
      <c r="V36" s="81"/>
      <c r="W36" s="80"/>
      <c r="X36" s="81"/>
      <c r="Y36" s="80"/>
      <c r="Z36" s="81"/>
      <c r="AA36" s="80"/>
      <c r="AB36" s="81"/>
      <c r="AC36" s="80"/>
      <c r="AD36" s="81"/>
      <c r="AE36" s="80"/>
      <c r="AF36" s="81"/>
      <c r="AG36" s="80"/>
      <c r="AH36" s="81"/>
      <c r="AI36" s="80"/>
      <c r="AJ36" s="81"/>
      <c r="AK36" s="80"/>
      <c r="AL36" s="81"/>
      <c r="AM36" s="80"/>
      <c r="AN36" s="82"/>
      <c r="AO36" s="80"/>
    </row>
    <row r="37" spans="2:41" ht="15" thickBot="1" x14ac:dyDescent="0.35">
      <c r="B37" s="15" t="s">
        <v>33</v>
      </c>
      <c r="C37" s="16" t="s">
        <v>34</v>
      </c>
      <c r="D37" s="17"/>
      <c r="E37" s="18"/>
      <c r="F37" s="18"/>
      <c r="G37" s="19">
        <f>SUM(G38:G39)</f>
        <v>1273836.73</v>
      </c>
      <c r="H37" s="81"/>
      <c r="I37" s="70">
        <v>90954.650000000009</v>
      </c>
      <c r="J37" s="81"/>
      <c r="K37" s="70">
        <v>56323.049999999996</v>
      </c>
      <c r="L37" s="81"/>
      <c r="M37" s="70">
        <v>42710.289999999994</v>
      </c>
      <c r="N37" s="81"/>
      <c r="O37" s="70">
        <v>211843.27</v>
      </c>
      <c r="P37" s="81"/>
      <c r="Q37" s="70">
        <v>45314.619999999995</v>
      </c>
      <c r="R37" s="81"/>
      <c r="S37" s="70">
        <v>146200.74000000002</v>
      </c>
      <c r="T37" s="81"/>
      <c r="U37" s="70">
        <v>35427.140000000007</v>
      </c>
      <c r="V37" s="81"/>
      <c r="W37" s="70">
        <v>360132.75999999995</v>
      </c>
      <c r="X37" s="81"/>
      <c r="Y37" s="70">
        <v>47412.009999999995</v>
      </c>
      <c r="Z37" s="81"/>
      <c r="AA37" s="70">
        <v>22385.19</v>
      </c>
      <c r="AB37" s="81"/>
      <c r="AC37" s="70">
        <v>50738.8</v>
      </c>
      <c r="AD37" s="81"/>
      <c r="AE37" s="70">
        <v>67156.69</v>
      </c>
      <c r="AF37" s="81"/>
      <c r="AG37" s="70">
        <v>51691.12999999999</v>
      </c>
      <c r="AH37" s="81"/>
      <c r="AI37" s="70">
        <v>54204.350000000006</v>
      </c>
      <c r="AJ37" s="81"/>
      <c r="AK37" s="80"/>
      <c r="AL37" s="81"/>
      <c r="AM37" s="80"/>
      <c r="AN37" s="82"/>
      <c r="AO37" s="80"/>
    </row>
    <row r="38" spans="2:41" ht="15" thickTop="1" x14ac:dyDescent="0.3">
      <c r="B38" s="71"/>
      <c r="C38" s="72" t="s">
        <v>35</v>
      </c>
      <c r="D38" s="78"/>
      <c r="E38" s="78"/>
      <c r="F38" s="78"/>
      <c r="G38" s="79">
        <f>SUMIFS('[1]Recebimentos - Mês'!M:M,'[1]Recebimentos - Mês'!Q:Q,'Visão Geral'!C38)</f>
        <v>1273836.73</v>
      </c>
      <c r="H38" s="81"/>
      <c r="I38" s="76">
        <v>90954.650000000009</v>
      </c>
      <c r="J38" s="81"/>
      <c r="K38" s="76">
        <v>56323.049999999996</v>
      </c>
      <c r="L38" s="81"/>
      <c r="M38" s="76">
        <v>42710.289999999994</v>
      </c>
      <c r="N38" s="81"/>
      <c r="O38" s="76">
        <v>211843.27</v>
      </c>
      <c r="P38" s="81"/>
      <c r="Q38" s="76">
        <v>45314.619999999995</v>
      </c>
      <c r="R38" s="81"/>
      <c r="S38" s="76">
        <v>146200.74000000002</v>
      </c>
      <c r="T38" s="81"/>
      <c r="U38" s="76">
        <v>35427.140000000007</v>
      </c>
      <c r="V38" s="81"/>
      <c r="W38" s="76">
        <v>360132.75999999995</v>
      </c>
      <c r="X38" s="81"/>
      <c r="Y38" s="76">
        <v>47412.009999999995</v>
      </c>
      <c r="Z38" s="81"/>
      <c r="AA38" s="76">
        <v>22385.19</v>
      </c>
      <c r="AB38" s="81"/>
      <c r="AC38" s="76">
        <v>50738.8</v>
      </c>
      <c r="AD38" s="81"/>
      <c r="AE38" s="76">
        <v>67156.69</v>
      </c>
      <c r="AF38" s="81"/>
      <c r="AG38" s="76">
        <v>51691.12999999999</v>
      </c>
      <c r="AH38" s="81"/>
      <c r="AI38" s="76">
        <v>53552.69</v>
      </c>
      <c r="AJ38" s="81"/>
      <c r="AK38" s="80"/>
      <c r="AL38" s="81"/>
      <c r="AM38" s="80"/>
      <c r="AN38" s="82"/>
      <c r="AO38" s="80"/>
    </row>
    <row r="39" spans="2:41" x14ac:dyDescent="0.3">
      <c r="B39" s="71"/>
      <c r="C39" s="30" t="s">
        <v>36</v>
      </c>
      <c r="D39" s="78"/>
      <c r="E39" s="78"/>
      <c r="F39" s="78"/>
      <c r="G39" s="79">
        <f>SUMIFS('[1]Recebimentos - Mês'!M:M,'[1]Recebimentos - Mês'!Q:Q,'Visão Geral'!C39)</f>
        <v>0</v>
      </c>
      <c r="H39" s="81"/>
      <c r="I39" s="80">
        <v>0</v>
      </c>
      <c r="J39" s="81"/>
      <c r="K39" s="80">
        <v>0</v>
      </c>
      <c r="L39" s="81"/>
      <c r="M39" s="80">
        <v>0</v>
      </c>
      <c r="N39" s="81"/>
      <c r="O39" s="80">
        <v>0</v>
      </c>
      <c r="P39" s="81"/>
      <c r="Q39" s="80">
        <v>0</v>
      </c>
      <c r="R39" s="81"/>
      <c r="S39" s="80">
        <v>0</v>
      </c>
      <c r="T39" s="81"/>
      <c r="U39" s="80">
        <v>0</v>
      </c>
      <c r="V39" s="81"/>
      <c r="W39" s="80">
        <v>0</v>
      </c>
      <c r="X39" s="81"/>
      <c r="Y39" s="80">
        <v>0</v>
      </c>
      <c r="Z39" s="81"/>
      <c r="AA39" s="80">
        <v>0</v>
      </c>
      <c r="AB39" s="81"/>
      <c r="AC39" s="80">
        <v>0</v>
      </c>
      <c r="AD39" s="81"/>
      <c r="AE39" s="80">
        <v>0</v>
      </c>
      <c r="AF39" s="81"/>
      <c r="AG39" s="80">
        <v>0</v>
      </c>
      <c r="AH39" s="81"/>
      <c r="AI39" s="80">
        <v>651.66</v>
      </c>
      <c r="AJ39" s="81"/>
      <c r="AK39" s="80"/>
      <c r="AL39" s="81"/>
      <c r="AM39" s="80"/>
      <c r="AN39" s="82"/>
      <c r="AO39" s="80"/>
    </row>
    <row r="40" spans="2:41" x14ac:dyDescent="0.3">
      <c r="B40" s="71"/>
      <c r="C40" s="30"/>
      <c r="D40" s="78"/>
      <c r="E40" s="78"/>
      <c r="F40" s="78"/>
      <c r="G40" s="79"/>
      <c r="H40" s="81"/>
      <c r="I40" s="80"/>
      <c r="J40" s="81"/>
      <c r="K40" s="80"/>
      <c r="L40" s="81"/>
      <c r="M40" s="80"/>
      <c r="N40" s="81"/>
      <c r="O40" s="80"/>
      <c r="P40" s="81"/>
      <c r="Q40" s="80"/>
      <c r="R40" s="81"/>
      <c r="S40" s="80"/>
      <c r="T40" s="81"/>
      <c r="U40" s="80"/>
      <c r="V40" s="81"/>
      <c r="W40" s="80"/>
      <c r="X40" s="81"/>
      <c r="Y40" s="80"/>
      <c r="Z40" s="81"/>
      <c r="AA40" s="80"/>
      <c r="AB40" s="81"/>
      <c r="AC40" s="80"/>
      <c r="AD40" s="81"/>
      <c r="AE40" s="80"/>
      <c r="AF40" s="81"/>
      <c r="AG40" s="80"/>
      <c r="AH40" s="81"/>
      <c r="AI40" s="80"/>
      <c r="AJ40" s="81"/>
      <c r="AK40" s="80"/>
      <c r="AL40" s="81"/>
      <c r="AM40" s="80"/>
      <c r="AN40" s="82"/>
      <c r="AO40" s="80"/>
    </row>
    <row r="41" spans="2:41" ht="15" thickBot="1" x14ac:dyDescent="0.35">
      <c r="B41" s="15" t="s">
        <v>37</v>
      </c>
      <c r="C41" s="16" t="s">
        <v>38</v>
      </c>
      <c r="D41" s="17"/>
      <c r="E41" s="18"/>
      <c r="F41" s="18"/>
      <c r="G41" s="83">
        <f>[1]Inadimplência!K11</f>
        <v>232330.82</v>
      </c>
      <c r="H41" s="10"/>
      <c r="I41" s="84">
        <v>827435.56</v>
      </c>
      <c r="J41" s="10"/>
      <c r="K41" s="84">
        <v>471433.82999999996</v>
      </c>
      <c r="L41" s="10"/>
      <c r="M41" s="84">
        <v>465334.52999999997</v>
      </c>
      <c r="N41" s="10"/>
      <c r="O41" s="84">
        <v>462740.35</v>
      </c>
      <c r="P41" s="10"/>
      <c r="Q41" s="84">
        <v>401221.1</v>
      </c>
      <c r="R41" s="10"/>
      <c r="S41" s="84">
        <v>448985.47</v>
      </c>
      <c r="T41" s="10"/>
      <c r="U41" s="84">
        <v>234496.2</v>
      </c>
      <c r="V41" s="10"/>
      <c r="W41" s="84">
        <v>220935.03000000003</v>
      </c>
      <c r="X41" s="10"/>
      <c r="Y41" s="84">
        <v>226962.87</v>
      </c>
      <c r="Z41" s="10"/>
      <c r="AA41" s="84">
        <v>257634.17999999996</v>
      </c>
      <c r="AB41" s="10"/>
      <c r="AC41" s="84">
        <v>254271.23000000004</v>
      </c>
      <c r="AD41" s="10"/>
      <c r="AE41" s="84">
        <v>223744.52000000002</v>
      </c>
      <c r="AF41" s="10"/>
      <c r="AG41" s="84">
        <v>150383.16999999998</v>
      </c>
      <c r="AH41" s="10"/>
      <c r="AI41" s="84">
        <v>102667.32</v>
      </c>
      <c r="AJ41" s="10"/>
      <c r="AK41" s="84">
        <v>79853.13</v>
      </c>
      <c r="AL41" s="10"/>
      <c r="AM41" s="84">
        <v>68797.27</v>
      </c>
      <c r="AN41" s="85"/>
      <c r="AO41" s="84">
        <v>29356.380000000005</v>
      </c>
    </row>
    <row r="42" spans="2:41" ht="15" collapsed="1" thickTop="1" x14ac:dyDescent="0.3">
      <c r="B42" s="24"/>
      <c r="C42" s="25" t="s">
        <v>39</v>
      </c>
      <c r="D42" s="26"/>
      <c r="E42" s="27"/>
      <c r="F42" s="27"/>
      <c r="G42" s="39">
        <f>[1]Inadimplência!F6</f>
        <v>5</v>
      </c>
      <c r="H42" s="10"/>
      <c r="I42" s="40">
        <v>5</v>
      </c>
      <c r="J42" s="10"/>
      <c r="K42" s="40">
        <v>5</v>
      </c>
      <c r="L42" s="10"/>
      <c r="M42" s="40">
        <v>7</v>
      </c>
      <c r="N42" s="10"/>
      <c r="O42" s="40">
        <v>8</v>
      </c>
      <c r="P42" s="10"/>
      <c r="Q42" s="40">
        <v>8</v>
      </c>
      <c r="R42" s="10"/>
      <c r="S42" s="40">
        <v>8</v>
      </c>
      <c r="T42" s="10"/>
      <c r="U42" s="40">
        <v>10</v>
      </c>
      <c r="V42" s="10"/>
      <c r="W42" s="40">
        <v>7</v>
      </c>
      <c r="X42" s="10"/>
      <c r="Y42" s="40">
        <v>9</v>
      </c>
      <c r="Z42" s="10"/>
      <c r="AA42" s="40">
        <v>7</v>
      </c>
      <c r="AB42" s="10"/>
      <c r="AC42" s="40">
        <v>8</v>
      </c>
      <c r="AD42" s="10"/>
      <c r="AE42" s="40">
        <v>9</v>
      </c>
      <c r="AF42" s="10"/>
      <c r="AG42" s="40">
        <v>8</v>
      </c>
      <c r="AH42" s="10"/>
      <c r="AI42" s="40">
        <v>6</v>
      </c>
      <c r="AJ42" s="10"/>
      <c r="AK42" s="40">
        <v>7</v>
      </c>
      <c r="AL42" s="10"/>
      <c r="AM42" s="40">
        <v>6</v>
      </c>
      <c r="AN42" s="85"/>
      <c r="AO42" s="40">
        <v>4</v>
      </c>
    </row>
    <row r="43" spans="2:41" x14ac:dyDescent="0.3">
      <c r="B43" s="24"/>
      <c r="C43" s="30" t="s">
        <v>40</v>
      </c>
      <c r="D43" s="31"/>
      <c r="E43" s="32"/>
      <c r="F43" s="32"/>
      <c r="G43" s="86">
        <f>'[1]Acima de 90 dias'!I10</f>
        <v>230169.45</v>
      </c>
      <c r="H43" s="87"/>
      <c r="I43" s="88">
        <v>225813.56000000003</v>
      </c>
      <c r="J43" s="87"/>
      <c r="K43" s="88">
        <v>471433.83</v>
      </c>
      <c r="L43" s="87"/>
      <c r="M43" s="88">
        <v>416221.69</v>
      </c>
      <c r="N43" s="87"/>
      <c r="O43" s="88">
        <v>109925.90000000001</v>
      </c>
      <c r="P43" s="87"/>
      <c r="Q43" s="88">
        <v>88240.430000000022</v>
      </c>
      <c r="R43" s="87"/>
      <c r="S43" s="88">
        <v>138088.12999999998</v>
      </c>
      <c r="T43" s="87"/>
      <c r="U43" s="88">
        <v>217208.68</v>
      </c>
      <c r="V43" s="87"/>
      <c r="W43" s="88">
        <v>212480.47</v>
      </c>
      <c r="X43" s="87"/>
      <c r="Y43" s="88">
        <v>202251.53999999998</v>
      </c>
      <c r="Z43" s="87"/>
      <c r="AA43" s="88">
        <v>250046.24999999997</v>
      </c>
      <c r="AB43" s="87"/>
      <c r="AC43" s="88">
        <v>244654.03000000003</v>
      </c>
      <c r="AD43" s="87"/>
      <c r="AE43" s="88">
        <v>176537.58000000002</v>
      </c>
      <c r="AF43" s="87"/>
      <c r="AG43" s="88">
        <v>144227.34</v>
      </c>
      <c r="AH43" s="87"/>
      <c r="AI43" s="88">
        <v>102667.32</v>
      </c>
      <c r="AJ43" s="87"/>
      <c r="AK43" s="88">
        <v>74287.16</v>
      </c>
      <c r="AL43" s="87"/>
      <c r="AM43" s="88">
        <v>33720.04</v>
      </c>
      <c r="AN43" s="85"/>
      <c r="AO43" s="88">
        <v>26974</v>
      </c>
    </row>
    <row r="44" spans="2:41" x14ac:dyDescent="0.3">
      <c r="B44" s="71"/>
      <c r="C44" s="89" t="s">
        <v>41</v>
      </c>
      <c r="D44" s="31"/>
      <c r="E44" s="32"/>
      <c r="F44" s="32"/>
      <c r="G44" s="90">
        <f>'[1]Acima de 90 dias'!I10</f>
        <v>230169.45</v>
      </c>
      <c r="H44" s="10"/>
      <c r="I44" s="91">
        <v>225813.56000000003</v>
      </c>
      <c r="J44" s="10"/>
      <c r="K44" s="91">
        <v>471433.83</v>
      </c>
      <c r="L44" s="10"/>
      <c r="M44" s="91">
        <v>416221.69</v>
      </c>
      <c r="N44" s="10"/>
      <c r="O44" s="91">
        <v>109925.90000000001</v>
      </c>
      <c r="P44" s="10"/>
      <c r="Q44" s="91">
        <v>88240.430000000022</v>
      </c>
      <c r="R44" s="10"/>
      <c r="S44" s="91">
        <v>138088.12999999998</v>
      </c>
      <c r="T44" s="10"/>
      <c r="U44" s="91">
        <v>217208.68</v>
      </c>
      <c r="V44" s="10"/>
      <c r="W44" s="91">
        <v>212480.47</v>
      </c>
      <c r="X44" s="10"/>
      <c r="Y44" s="91">
        <v>202251.53999999998</v>
      </c>
      <c r="Z44" s="10"/>
      <c r="AA44" s="91">
        <v>250046.24999999997</v>
      </c>
      <c r="AB44" s="10"/>
      <c r="AC44" s="91">
        <v>244654.03000000003</v>
      </c>
      <c r="AD44" s="10"/>
      <c r="AE44" s="91">
        <v>176537.58000000002</v>
      </c>
      <c r="AF44" s="10"/>
      <c r="AG44" s="91">
        <v>144227.34</v>
      </c>
      <c r="AH44" s="10"/>
      <c r="AI44" s="91">
        <v>102667.32</v>
      </c>
      <c r="AJ44" s="10"/>
      <c r="AK44" s="91">
        <v>74287.16</v>
      </c>
      <c r="AL44" s="10"/>
      <c r="AM44" s="91">
        <v>33720.04</v>
      </c>
      <c r="AN44" s="85"/>
      <c r="AO44" s="91">
        <v>26974</v>
      </c>
    </row>
    <row r="45" spans="2:41" x14ac:dyDescent="0.3">
      <c r="B45" s="71"/>
      <c r="C45" s="89" t="s">
        <v>42</v>
      </c>
      <c r="D45" s="31"/>
      <c r="E45" s="32"/>
      <c r="F45" s="32"/>
      <c r="G45" s="90">
        <f>'[1]Acima de 90 dias'!J10</f>
        <v>2219541.64</v>
      </c>
      <c r="I45" s="91">
        <v>2214216.46</v>
      </c>
      <c r="K45" s="91">
        <v>2523499.5700000003</v>
      </c>
      <c r="M45" s="91">
        <v>2856235.82</v>
      </c>
      <c r="O45" s="91">
        <v>2988331.6899999995</v>
      </c>
      <c r="Q45" s="91">
        <v>2603059.91</v>
      </c>
      <c r="S45" s="91">
        <v>3029048.97</v>
      </c>
      <c r="U45" s="91">
        <v>2495980.48</v>
      </c>
      <c r="W45" s="91">
        <v>2488404.6</v>
      </c>
      <c r="Y45" s="91">
        <v>1620007.0500000003</v>
      </c>
      <c r="AA45" s="91">
        <v>2169518.2400000002</v>
      </c>
      <c r="AC45" s="91">
        <v>2154113.77</v>
      </c>
      <c r="AE45" s="91">
        <v>2707181.6</v>
      </c>
      <c r="AG45" s="91">
        <v>2731382.09</v>
      </c>
      <c r="AI45" s="91">
        <v>3206005.5300000003</v>
      </c>
      <c r="AK45" s="91">
        <v>2780416.02</v>
      </c>
      <c r="AM45" s="91">
        <v>986242.38</v>
      </c>
      <c r="AN45" s="36"/>
      <c r="AO45" s="91">
        <v>959908.34</v>
      </c>
    </row>
    <row r="46" spans="2:41" x14ac:dyDescent="0.3">
      <c r="B46" s="24"/>
      <c r="C46" s="30" t="s">
        <v>43</v>
      </c>
      <c r="D46" s="31"/>
      <c r="E46" s="32"/>
      <c r="F46" s="32"/>
      <c r="G46" s="86">
        <f>[1]Inadimplência!F5</f>
        <v>4</v>
      </c>
      <c r="I46" s="88">
        <v>4</v>
      </c>
      <c r="K46" s="88">
        <v>5</v>
      </c>
      <c r="M46" s="88">
        <v>5</v>
      </c>
      <c r="O46" s="88">
        <v>6</v>
      </c>
      <c r="Q46" s="88">
        <v>5</v>
      </c>
      <c r="S46" s="88">
        <v>6</v>
      </c>
      <c r="U46" s="88">
        <v>5</v>
      </c>
      <c r="W46" s="88">
        <v>5</v>
      </c>
      <c r="Y46" s="88">
        <v>3</v>
      </c>
      <c r="AA46" s="88">
        <v>4</v>
      </c>
      <c r="AC46" s="88">
        <v>4</v>
      </c>
      <c r="AE46" s="88">
        <v>6</v>
      </c>
      <c r="AG46" s="88">
        <v>6</v>
      </c>
      <c r="AI46" s="88">
        <v>6</v>
      </c>
      <c r="AK46" s="88">
        <v>5</v>
      </c>
      <c r="AM46" s="88">
        <v>2</v>
      </c>
      <c r="AN46" s="36"/>
      <c r="AO46" s="88">
        <v>2</v>
      </c>
    </row>
    <row r="47" spans="2:41" x14ac:dyDescent="0.3">
      <c r="B47" s="24"/>
      <c r="C47" s="30" t="s">
        <v>44</v>
      </c>
      <c r="D47" s="31"/>
      <c r="E47" s="32"/>
      <c r="F47" s="32"/>
      <c r="G47" s="92">
        <f>SUMIFS([1]Inadimplência!$K:$K,[1]Inadimplência!$I:$I,"Inelegível")</f>
        <v>0.2251446498196876</v>
      </c>
      <c r="H47" s="20"/>
      <c r="I47" s="93">
        <v>0.21202501445905914</v>
      </c>
      <c r="J47" s="20"/>
      <c r="K47" s="93">
        <v>0.26529890850111787</v>
      </c>
      <c r="L47" s="20"/>
      <c r="M47" s="93">
        <v>0.24946555323350028</v>
      </c>
      <c r="N47" s="20"/>
      <c r="O47" s="93">
        <v>0.27558844201352439</v>
      </c>
      <c r="P47" s="20"/>
      <c r="Q47" s="93">
        <v>0.23588256109499117</v>
      </c>
      <c r="R47" s="20"/>
      <c r="S47" s="93">
        <v>0.29581318749742463</v>
      </c>
      <c r="T47" s="20"/>
      <c r="U47" s="93">
        <v>0.26597799487772095</v>
      </c>
      <c r="V47" s="20"/>
      <c r="W47" s="93">
        <v>0.36239959939495497</v>
      </c>
      <c r="X47" s="20"/>
      <c r="Y47" s="93">
        <v>0.48196021519543913</v>
      </c>
      <c r="Z47" s="20"/>
      <c r="AA47" s="93">
        <v>0.42481290379711467</v>
      </c>
      <c r="AB47" s="20"/>
      <c r="AC47" s="93">
        <v>0.49971605852804912</v>
      </c>
      <c r="AD47" s="20"/>
      <c r="AE47" s="93">
        <v>0.47897133392976399</v>
      </c>
      <c r="AF47" s="20"/>
      <c r="AG47" s="93">
        <v>0.46738740634523118</v>
      </c>
      <c r="AH47" s="20"/>
      <c r="AI47" s="93">
        <v>0.37917616082690975</v>
      </c>
      <c r="AJ47" s="20"/>
      <c r="AK47" s="93">
        <v>0.32705745112145468</v>
      </c>
      <c r="AL47" s="20"/>
      <c r="AM47" s="93">
        <v>0.11670747905946388</v>
      </c>
      <c r="AN47" s="22"/>
      <c r="AO47" s="93">
        <v>0.1162</v>
      </c>
    </row>
    <row r="48" spans="2:41" x14ac:dyDescent="0.3">
      <c r="B48" s="24"/>
      <c r="C48" s="56"/>
      <c r="D48" s="32"/>
      <c r="E48" s="32"/>
      <c r="F48" s="32"/>
      <c r="G48" s="54"/>
      <c r="H48" s="20"/>
      <c r="I48" s="55"/>
      <c r="J48" s="20"/>
      <c r="K48" s="55"/>
      <c r="L48" s="20"/>
      <c r="M48" s="55"/>
      <c r="N48" s="20"/>
      <c r="O48" s="55"/>
      <c r="P48" s="20"/>
      <c r="Q48" s="55"/>
      <c r="R48" s="20"/>
      <c r="S48" s="55"/>
      <c r="T48" s="20"/>
      <c r="U48" s="55"/>
      <c r="V48" s="20"/>
      <c r="W48" s="55"/>
      <c r="X48" s="20"/>
      <c r="Y48" s="55"/>
      <c r="Z48" s="20"/>
      <c r="AA48" s="55"/>
      <c r="AB48" s="20"/>
      <c r="AC48" s="55"/>
      <c r="AD48" s="20"/>
      <c r="AE48" s="55"/>
      <c r="AF48" s="20"/>
      <c r="AG48" s="55"/>
      <c r="AH48" s="20"/>
      <c r="AI48" s="55"/>
      <c r="AJ48" s="20"/>
      <c r="AK48" s="55"/>
      <c r="AL48" s="20"/>
      <c r="AM48" s="55"/>
      <c r="AN48" s="22"/>
      <c r="AO48" s="55"/>
    </row>
    <row r="49" spans="2:41" ht="15" thickBot="1" x14ac:dyDescent="0.35">
      <c r="B49" s="57" t="s">
        <v>45</v>
      </c>
      <c r="C49" s="16" t="s">
        <v>46</v>
      </c>
      <c r="D49" s="58"/>
      <c r="E49" s="18"/>
      <c r="F49" s="18"/>
      <c r="G49" s="94">
        <f>G50/(G50+G51)</f>
        <v>0.98309538663797702</v>
      </c>
      <c r="H49" s="95"/>
      <c r="I49" s="96">
        <v>4.8856294050089712E-2</v>
      </c>
      <c r="J49" s="95"/>
      <c r="K49" s="96">
        <v>0.83886069710066258</v>
      </c>
      <c r="L49" s="95"/>
      <c r="M49" s="96">
        <v>0.80611433155881185</v>
      </c>
      <c r="N49" s="95"/>
      <c r="O49" s="96">
        <v>0.75962213985040949</v>
      </c>
      <c r="P49" s="95"/>
      <c r="Q49" s="96">
        <v>0.76679192855162215</v>
      </c>
      <c r="R49" s="95"/>
      <c r="S49" s="96">
        <v>0.2015281361894109</v>
      </c>
      <c r="T49" s="95"/>
      <c r="U49" s="96">
        <v>0.70950474460376989</v>
      </c>
      <c r="V49" s="95"/>
      <c r="W49" s="96">
        <v>0.97748621423551518</v>
      </c>
      <c r="X49" s="95"/>
      <c r="Y49" s="96">
        <v>0.66891867324837895</v>
      </c>
      <c r="Z49" s="95"/>
      <c r="AA49" s="96">
        <v>0.7945697791077958</v>
      </c>
      <c r="AB49" s="95"/>
      <c r="AC49" s="96">
        <v>0.2982893926288902</v>
      </c>
      <c r="AD49" s="95"/>
      <c r="AE49" s="96">
        <v>0.45132662657852518</v>
      </c>
      <c r="AF49" s="95"/>
      <c r="AG49" s="96">
        <v>0.48814856163640358</v>
      </c>
      <c r="AH49" s="95"/>
      <c r="AI49" s="96">
        <v>0.69980683426688506</v>
      </c>
      <c r="AJ49" s="95"/>
      <c r="AK49" s="96">
        <v>0.73649087490379883</v>
      </c>
      <c r="AL49" s="95"/>
      <c r="AM49" s="96">
        <v>0.50129919180827209</v>
      </c>
      <c r="AN49" s="97"/>
      <c r="AO49" s="96">
        <v>0</v>
      </c>
    </row>
    <row r="50" spans="2:41" ht="15" thickTop="1" x14ac:dyDescent="0.3">
      <c r="B50" s="98"/>
      <c r="C50" s="30" t="s">
        <v>47</v>
      </c>
      <c r="D50" s="99"/>
      <c r="E50" s="32"/>
      <c r="F50" s="32"/>
      <c r="G50" s="33">
        <f>SUMIFS([1]PrevistoxRealizado!$H:$H,[1]PrevistoxRealizado!$J:$J,"Pago")</f>
        <v>321695.01</v>
      </c>
      <c r="I50" s="34">
        <v>33970.86</v>
      </c>
      <c r="K50" s="34">
        <v>51090.189999999995</v>
      </c>
      <c r="M50" s="34">
        <v>40472.549999999996</v>
      </c>
      <c r="O50" s="34">
        <v>200311.31</v>
      </c>
      <c r="Q50" s="34">
        <v>31856.34</v>
      </c>
      <c r="S50" s="34">
        <v>79765.06</v>
      </c>
      <c r="U50" s="34">
        <v>29362.790000000005</v>
      </c>
      <c r="W50" s="34">
        <v>323586.00999999995</v>
      </c>
      <c r="Y50" s="34">
        <v>45257.82</v>
      </c>
      <c r="AA50" s="34">
        <v>20243</v>
      </c>
      <c r="AC50" s="34">
        <v>48606</v>
      </c>
      <c r="AE50" s="34">
        <v>65078.559999999998</v>
      </c>
      <c r="AG50" s="34">
        <v>51691.12999999999</v>
      </c>
      <c r="AI50" s="34">
        <v>53552.69</v>
      </c>
      <c r="AK50" s="34">
        <v>41956.27</v>
      </c>
      <c r="AM50" s="34">
        <v>30102.449999999997</v>
      </c>
      <c r="AN50" s="36"/>
      <c r="AO50" s="34">
        <v>0</v>
      </c>
    </row>
    <row r="51" spans="2:41" x14ac:dyDescent="0.3">
      <c r="B51" s="98"/>
      <c r="C51" s="30" t="s">
        <v>48</v>
      </c>
      <c r="D51" s="99"/>
      <c r="E51" s="32"/>
      <c r="F51" s="32"/>
      <c r="G51" s="33">
        <f>SUMIFS([1]PrevistoxRealizado!$H:$H,[1]PrevistoxRealizado!$J:$J,"Em Aberto")</f>
        <v>5531.6399999999994</v>
      </c>
      <c r="I51" s="34">
        <v>661351.22</v>
      </c>
      <c r="K51" s="34">
        <v>9814.07</v>
      </c>
      <c r="M51" s="34">
        <v>9734.41</v>
      </c>
      <c r="O51" s="34">
        <v>63387.310000000005</v>
      </c>
      <c r="Q51" s="34">
        <v>9688.6200000000008</v>
      </c>
      <c r="S51" s="34">
        <v>316036.05</v>
      </c>
      <c r="U51" s="34">
        <v>12022.119999999999</v>
      </c>
      <c r="W51" s="34">
        <v>7452.94</v>
      </c>
      <c r="Y51" s="34">
        <v>22400.36</v>
      </c>
      <c r="AA51" s="34">
        <v>5233.68</v>
      </c>
      <c r="AC51" s="34">
        <v>114343.14</v>
      </c>
      <c r="AE51" s="34">
        <v>79115.37</v>
      </c>
      <c r="AG51" s="34">
        <v>54201.079999999994</v>
      </c>
      <c r="AI51" s="34">
        <v>22972.269999999997</v>
      </c>
      <c r="AK51" s="34">
        <v>30900.410000000003</v>
      </c>
      <c r="AM51" s="34">
        <v>29946.420000000006</v>
      </c>
      <c r="AN51" s="36"/>
      <c r="AO51" s="34">
        <v>0</v>
      </c>
    </row>
    <row r="52" spans="2:41" x14ac:dyDescent="0.3">
      <c r="I52" s="36"/>
      <c r="K52" s="36"/>
      <c r="M52" s="36"/>
      <c r="O52" s="36"/>
      <c r="Q52" s="36"/>
      <c r="S52" s="36"/>
      <c r="U52" s="36"/>
      <c r="W52" s="36"/>
      <c r="Y52" s="36"/>
      <c r="AA52" s="36"/>
      <c r="AC52" s="36"/>
      <c r="AE52" s="36"/>
      <c r="AG52" s="36"/>
      <c r="AI52" s="36"/>
      <c r="AK52" s="36"/>
      <c r="AM52" s="36"/>
      <c r="AN52" s="36"/>
      <c r="AO52" s="36"/>
    </row>
    <row r="53" spans="2:41" ht="15" thickBot="1" x14ac:dyDescent="0.35">
      <c r="B53" s="100" t="s">
        <v>49</v>
      </c>
      <c r="C53" s="16" t="s">
        <v>50</v>
      </c>
      <c r="D53" s="58"/>
      <c r="E53" s="18"/>
      <c r="F53" s="18"/>
      <c r="G53" s="101">
        <f>G54/(G55+G56)</f>
        <v>0.2933812699365797</v>
      </c>
      <c r="I53" s="101">
        <v>0.29672677803368691</v>
      </c>
      <c r="K53" s="101">
        <v>0.29140149496401935</v>
      </c>
      <c r="M53" s="101">
        <v>0.26500215933577531</v>
      </c>
      <c r="O53" s="101">
        <v>0.24254061344733285</v>
      </c>
      <c r="Q53" s="101">
        <v>0.2563151584133912</v>
      </c>
      <c r="S53" s="101">
        <v>0.22101251567772265</v>
      </c>
      <c r="U53" s="101">
        <f>U54/(U55+U56)</f>
        <v>0.22088921545431209</v>
      </c>
      <c r="W53" s="101">
        <f>W54/(W55+W56)</f>
        <v>0.21966117913599179</v>
      </c>
      <c r="Y53" s="101">
        <f>Y54/(Y55+Y56)</f>
        <v>0.24690884199570332</v>
      </c>
      <c r="AA53" s="101">
        <f>AA54/(AA55+AA56)</f>
        <v>0.20652064685255719</v>
      </c>
      <c r="AC53" s="101">
        <f>AC54/(AC55+AC56)</f>
        <v>0.18775037326997931</v>
      </c>
      <c r="AE53" s="101">
        <f>AE54/(AE55+AE56)</f>
        <v>0.18690525736154442</v>
      </c>
      <c r="AG53" s="101">
        <f>AG54/(AG55+AG56)</f>
        <v>0.18646001956339783</v>
      </c>
      <c r="AI53" s="101">
        <f>AI54/(AI55+AI56)</f>
        <v>0.16333138741497269</v>
      </c>
      <c r="AK53" s="101">
        <f>AK54/(AK55+AK56)</f>
        <v>0.19251170701754383</v>
      </c>
      <c r="AM53" s="101">
        <f>AM54/(AM55+AM56)</f>
        <v>0.21015742422451994</v>
      </c>
      <c r="AN53" s="36"/>
      <c r="AO53" s="96"/>
    </row>
    <row r="54" spans="2:41" ht="15" thickTop="1" x14ac:dyDescent="0.3">
      <c r="B54" s="98"/>
      <c r="C54" s="30" t="s">
        <v>51</v>
      </c>
      <c r="D54" s="99"/>
      <c r="E54" s="32"/>
      <c r="F54" s="32"/>
      <c r="G54" s="33">
        <f>SUMIFS([1]Recebíveis!$U:$U,[1]Recebíveis!$K:$K,"Elegível",[1]Recebíveis!$L:$L,"Pós")</f>
        <v>8660843.1719285194</v>
      </c>
      <c r="I54" s="34">
        <v>8713206.1509050373</v>
      </c>
      <c r="K54" s="34">
        <v>8535112.8552706558</v>
      </c>
      <c r="M54" s="34">
        <v>7613804.5099999979</v>
      </c>
      <c r="O54" s="34">
        <v>6985928.6400000006</v>
      </c>
      <c r="Q54" s="34">
        <v>7355386.1600000001</v>
      </c>
      <c r="S54" s="34">
        <v>6337707.3200000012</v>
      </c>
      <c r="U54" s="34">
        <v>6334397.2100000009</v>
      </c>
      <c r="W54" s="34">
        <v>6294832.5500000017</v>
      </c>
      <c r="Y54" s="34">
        <v>7064987.8899999987</v>
      </c>
      <c r="AA54" s="34">
        <v>5906179.0399999991</v>
      </c>
      <c r="AC54" s="34">
        <v>5365587.0199999996</v>
      </c>
      <c r="AE54" s="34">
        <v>5337247.82</v>
      </c>
      <c r="AG54" s="34">
        <v>5322617.6300000008</v>
      </c>
      <c r="AI54" s="34">
        <v>4662030.9299999988</v>
      </c>
      <c r="AK54" s="34">
        <v>5486583.6499999994</v>
      </c>
      <c r="AM54" s="34">
        <v>7113828.8099999996</v>
      </c>
      <c r="AN54" s="36"/>
      <c r="AO54" s="34"/>
    </row>
    <row r="55" spans="2:41" x14ac:dyDescent="0.3">
      <c r="B55" s="98"/>
      <c r="C55" s="30" t="s">
        <v>52</v>
      </c>
      <c r="D55" s="99"/>
      <c r="E55" s="32"/>
      <c r="F55" s="32"/>
      <c r="G55" s="33">
        <v>28606700.600000001</v>
      </c>
      <c r="I55" s="34">
        <v>27548607.009786196</v>
      </c>
      <c r="K55" s="34">
        <v>27474072.350000001</v>
      </c>
      <c r="M55" s="34">
        <v>26915302.75</v>
      </c>
      <c r="O55" s="34">
        <v>25587211.260316558</v>
      </c>
      <c r="Q55" s="34">
        <v>23187103.050000001</v>
      </c>
      <c r="S55" s="34">
        <v>21566076.510000002</v>
      </c>
      <c r="U55" s="34">
        <v>19515904.530000001</v>
      </c>
      <c r="W55" s="34">
        <v>19496108.129999999</v>
      </c>
      <c r="Y55" s="34">
        <v>16602829.920000002</v>
      </c>
      <c r="AA55" s="34">
        <v>14087428.32</v>
      </c>
      <c r="AC55" s="34">
        <v>11726934.110000001</v>
      </c>
      <c r="AE55" s="34">
        <v>7363628.7799999993</v>
      </c>
      <c r="AG55" s="34">
        <v>6452710.7899999991</v>
      </c>
      <c r="AI55" s="34">
        <v>5400183.2300000004</v>
      </c>
      <c r="AK55" s="34">
        <v>5356796.66</v>
      </c>
      <c r="AM55" s="34">
        <v>5350000</v>
      </c>
      <c r="AN55" s="36"/>
      <c r="AO55" s="34"/>
    </row>
    <row r="56" spans="2:41" x14ac:dyDescent="0.3">
      <c r="C56" s="30" t="s">
        <v>53</v>
      </c>
      <c r="G56" s="33">
        <v>914076.82999999821</v>
      </c>
      <c r="I56" s="102">
        <v>1815800.9100000001</v>
      </c>
      <c r="K56" s="102">
        <v>1815800.9100000001</v>
      </c>
      <c r="M56" s="102">
        <v>1815800.9100000001</v>
      </c>
      <c r="O56" s="102">
        <v>3215918</v>
      </c>
      <c r="Q56" s="102">
        <v>5509546.0500000026</v>
      </c>
      <c r="S56" s="102">
        <v>7109708.2100000028</v>
      </c>
      <c r="U56" s="102">
        <v>9160901.6100000031</v>
      </c>
      <c r="W56" s="102">
        <v>9160901.6100000031</v>
      </c>
      <c r="Y56" s="102">
        <v>12010920.130000003</v>
      </c>
      <c r="AA56" s="102">
        <v>14511063.550000003</v>
      </c>
      <c r="AC56" s="102">
        <v>16851368.700000003</v>
      </c>
      <c r="AE56" s="102">
        <v>21192271.120000001</v>
      </c>
      <c r="AG56" s="102">
        <v>22092913.32</v>
      </c>
      <c r="AI56" s="102">
        <v>23143203.34</v>
      </c>
      <c r="AK56" s="102">
        <v>23143203.34</v>
      </c>
      <c r="AM56" s="102">
        <v>28500000</v>
      </c>
      <c r="AN56" s="36"/>
      <c r="AO56" s="36"/>
    </row>
    <row r="57" spans="2:41" x14ac:dyDescent="0.3">
      <c r="I57" s="36"/>
      <c r="K57" s="36"/>
      <c r="M57" s="36"/>
      <c r="O57" s="36"/>
      <c r="Q57" s="36"/>
      <c r="S57" s="36"/>
      <c r="U57" s="36"/>
      <c r="W57" s="36"/>
      <c r="Y57" s="36"/>
      <c r="AA57" s="36"/>
      <c r="AC57" s="36"/>
      <c r="AE57" s="36"/>
      <c r="AG57" s="36"/>
      <c r="AI57" s="36"/>
      <c r="AK57" s="36"/>
      <c r="AM57" s="36"/>
      <c r="AN57" s="36"/>
      <c r="AO57" s="36"/>
    </row>
    <row r="58" spans="2:41" x14ac:dyDescent="0.3">
      <c r="I58" s="36"/>
      <c r="K58" s="36"/>
      <c r="M58" s="36"/>
      <c r="O58" s="36"/>
      <c r="Q58" s="36"/>
      <c r="S58" s="36"/>
      <c r="U58" s="36"/>
      <c r="W58" s="36"/>
      <c r="Y58" s="36"/>
      <c r="AA58" s="36"/>
      <c r="AC58" s="36"/>
      <c r="AE58" s="36"/>
      <c r="AG58" s="36"/>
      <c r="AI58" s="36"/>
      <c r="AK58" s="36"/>
      <c r="AM58" s="36"/>
      <c r="AN58" s="36"/>
      <c r="AO58" s="36"/>
    </row>
    <row r="59" spans="2:41" x14ac:dyDescent="0.3">
      <c r="I59" s="62"/>
      <c r="K59" s="62"/>
      <c r="M59" s="36"/>
      <c r="O59" s="36"/>
      <c r="Q59" s="36"/>
      <c r="S59" s="36"/>
      <c r="U59" s="36"/>
      <c r="W59" s="36"/>
      <c r="Y59" s="36"/>
      <c r="AA59" s="36"/>
      <c r="AC59" s="36"/>
      <c r="AE59" s="36"/>
      <c r="AG59" s="36"/>
      <c r="AI59" s="36"/>
      <c r="AK59" s="36"/>
      <c r="AM59" s="36"/>
      <c r="AN59" s="36"/>
      <c r="AO59" s="36"/>
    </row>
    <row r="60" spans="2:41" x14ac:dyDescent="0.3">
      <c r="I60" s="36"/>
      <c r="K60" s="36"/>
      <c r="M60" s="36"/>
      <c r="O60" s="36"/>
      <c r="Q60" s="36"/>
      <c r="S60" s="36"/>
      <c r="U60" s="36"/>
      <c r="W60" s="36"/>
      <c r="Y60" s="36"/>
      <c r="AA60" s="36"/>
      <c r="AC60" s="36"/>
      <c r="AE60" s="36"/>
      <c r="AG60" s="36"/>
      <c r="AI60" s="36"/>
      <c r="AK60" s="36"/>
      <c r="AM60" s="36"/>
      <c r="AN60" s="36"/>
      <c r="AO60" s="36"/>
    </row>
    <row r="61" spans="2:41" ht="15" thickBot="1" x14ac:dyDescent="0.35">
      <c r="B61" s="57" t="s">
        <v>54</v>
      </c>
      <c r="C61" s="16" t="s">
        <v>55</v>
      </c>
      <c r="D61" s="58"/>
      <c r="E61" s="18"/>
      <c r="F61" s="18"/>
      <c r="G61" s="101">
        <f>(G62+(G65*80%)+(G66*80%))/(G63+G64)</f>
        <v>1.6197828972813451</v>
      </c>
      <c r="I61" s="101">
        <v>1.6408486006627341</v>
      </c>
      <c r="K61" s="101">
        <v>1.6291036020565919</v>
      </c>
      <c r="M61" s="101">
        <v>1.6326077129099157</v>
      </c>
      <c r="O61" s="101">
        <v>1.6296992165501401</v>
      </c>
      <c r="Q61" s="101">
        <v>1.5482785196067743</v>
      </c>
      <c r="S61" s="101">
        <v>1.5267730980839906</v>
      </c>
      <c r="U61" s="101">
        <f>(U62+(U65*80%)+(U66*80%))/(U63+U64)</f>
        <v>1.572128552724289</v>
      </c>
      <c r="W61" s="101">
        <f>(W62+(W65*80%)+(W66*80%))/(W63+W64)</f>
        <v>1.5712422573798241</v>
      </c>
      <c r="Y61" s="101">
        <f>(Y62+(Y65*80%)+(Y66*80%))/(Y63+Y64)</f>
        <v>1.5772997188683138</v>
      </c>
      <c r="AA61" s="101">
        <f>(AA62+(AA65*80%)+(AA66*80%))/(AA63+AA64)</f>
        <v>1.5343722412964791</v>
      </c>
      <c r="AC61" s="101">
        <f>(AC62+(AC65*80%)+(AC66*80%))/(AC63+AC64)</f>
        <v>1.5050446147205325</v>
      </c>
      <c r="AE61" s="101">
        <f>(AE62+(AE65*80%)+(AE66*80%))/(AE63+AE64)</f>
        <v>1.5012498064876567</v>
      </c>
      <c r="AG61" s="101">
        <f>(AG62+(AG65*80%)+(AG66*80%))/(AG63+AG64)</f>
        <v>1.4488181698445335</v>
      </c>
      <c r="AI61" s="101">
        <f>(AI62+(AI65*80%)+(AI66*80%))/(AI63+AI64)</f>
        <v>1.4888088010367833</v>
      </c>
      <c r="AK61" s="101">
        <f>(AK62+(AK65*80%)+(AK66*80%))/(AK63+AK64)</f>
        <v>1.6665075420686275</v>
      </c>
      <c r="AM61" s="101">
        <f>(AM62+(AM65*80%)+(AM66*80%))/(AM63+AM64)</f>
        <v>1.3313044026279437</v>
      </c>
      <c r="AN61" s="36"/>
      <c r="AO61" s="96"/>
    </row>
    <row r="62" spans="2:41" ht="15" thickTop="1" x14ac:dyDescent="0.3">
      <c r="B62" s="98"/>
      <c r="C62" s="30" t="s">
        <v>51</v>
      </c>
      <c r="D62" s="99"/>
      <c r="E62" s="32"/>
      <c r="F62" s="32"/>
      <c r="G62" s="33">
        <f>G54</f>
        <v>8660843.1719285194</v>
      </c>
      <c r="H62" s="103"/>
      <c r="I62" s="34">
        <v>8713206.1509050373</v>
      </c>
      <c r="J62" s="103"/>
      <c r="K62" s="34">
        <v>8535112.8552706558</v>
      </c>
      <c r="L62" s="103"/>
      <c r="M62" s="34">
        <v>7613804.5099999979</v>
      </c>
      <c r="N62" s="103"/>
      <c r="O62" s="34">
        <v>6985928.6400000006</v>
      </c>
      <c r="P62" s="103"/>
      <c r="Q62" s="34">
        <v>7355386.1600000001</v>
      </c>
      <c r="R62" s="103"/>
      <c r="S62" s="34">
        <v>6337707.3200000012</v>
      </c>
      <c r="T62" s="103"/>
      <c r="U62" s="34">
        <v>6334397.2100000009</v>
      </c>
      <c r="V62" s="103"/>
      <c r="W62" s="34">
        <v>6294832.5500000017</v>
      </c>
      <c r="X62" s="103"/>
      <c r="Y62" s="34">
        <v>7064987.8899999987</v>
      </c>
      <c r="Z62" s="103"/>
      <c r="AA62" s="34">
        <v>5906179.0399999991</v>
      </c>
      <c r="AB62" s="103"/>
      <c r="AC62" s="34">
        <v>5365587.0199999996</v>
      </c>
      <c r="AD62" s="103"/>
      <c r="AE62" s="34">
        <v>5337247.82</v>
      </c>
      <c r="AF62" s="103"/>
      <c r="AG62" s="34">
        <v>5322617.6300000008</v>
      </c>
      <c r="AH62" s="103"/>
      <c r="AI62" s="34">
        <v>4662030.9299999988</v>
      </c>
      <c r="AJ62" s="104"/>
      <c r="AK62" s="34">
        <v>5486583.6499999994</v>
      </c>
      <c r="AL62" s="104"/>
      <c r="AM62" s="34">
        <v>7113828.8099999996</v>
      </c>
      <c r="AN62" s="36"/>
      <c r="AO62" s="34"/>
    </row>
    <row r="63" spans="2:41" x14ac:dyDescent="0.3">
      <c r="B63" s="98"/>
      <c r="C63" s="30" t="s">
        <v>52</v>
      </c>
      <c r="D63" s="99"/>
      <c r="E63" s="32"/>
      <c r="F63" s="32"/>
      <c r="G63" s="33">
        <f>G55</f>
        <v>28606700.600000001</v>
      </c>
      <c r="H63" s="103"/>
      <c r="I63" s="105">
        <v>27548607.009786196</v>
      </c>
      <c r="J63" s="103"/>
      <c r="K63" s="105">
        <v>27474072.350000001</v>
      </c>
      <c r="L63" s="103"/>
      <c r="M63" s="105">
        <v>26915302.75</v>
      </c>
      <c r="N63" s="103"/>
      <c r="O63" s="105">
        <v>25587211.260316558</v>
      </c>
      <c r="P63" s="103"/>
      <c r="Q63" s="105">
        <v>23187103.050000001</v>
      </c>
      <c r="R63" s="103"/>
      <c r="S63" s="105">
        <v>21566076.510000002</v>
      </c>
      <c r="T63" s="103"/>
      <c r="U63" s="105">
        <v>19515904.530000001</v>
      </c>
      <c r="V63" s="103"/>
      <c r="W63" s="105">
        <v>19496108.129999999</v>
      </c>
      <c r="X63" s="103"/>
      <c r="Y63" s="105">
        <v>16602829.920000002</v>
      </c>
      <c r="Z63" s="103"/>
      <c r="AA63" s="105">
        <v>14087428.32</v>
      </c>
      <c r="AB63" s="103"/>
      <c r="AC63" s="105">
        <v>11726934.110000001</v>
      </c>
      <c r="AD63" s="103"/>
      <c r="AE63" s="105">
        <v>7363628.7799999993</v>
      </c>
      <c r="AF63" s="103"/>
      <c r="AG63" s="105">
        <v>6452710.7899999991</v>
      </c>
      <c r="AH63" s="103"/>
      <c r="AI63" s="105">
        <v>5400183.2300000004</v>
      </c>
      <c r="AJ63" s="104"/>
      <c r="AK63" s="105">
        <v>5356796.66</v>
      </c>
      <c r="AL63" s="104"/>
      <c r="AM63" s="106">
        <v>5350000</v>
      </c>
      <c r="AN63" s="36"/>
      <c r="AO63" s="34"/>
    </row>
    <row r="64" spans="2:41" x14ac:dyDescent="0.3">
      <c r="B64" s="98"/>
      <c r="C64" s="30" t="s">
        <v>53</v>
      </c>
      <c r="D64" s="99"/>
      <c r="E64" s="32"/>
      <c r="F64" s="32"/>
      <c r="G64" s="33">
        <f>G56</f>
        <v>914076.82999999821</v>
      </c>
      <c r="H64" s="103"/>
      <c r="I64" s="107">
        <v>1815800.9100000001</v>
      </c>
      <c r="J64" s="103"/>
      <c r="K64" s="107">
        <v>1815800.9100000001</v>
      </c>
      <c r="L64" s="103"/>
      <c r="M64" s="107">
        <v>1815800.9100000001</v>
      </c>
      <c r="N64" s="103"/>
      <c r="O64" s="107">
        <v>3215918</v>
      </c>
      <c r="P64" s="103"/>
      <c r="Q64" s="107">
        <v>5509546.0500000026</v>
      </c>
      <c r="R64" s="103"/>
      <c r="S64" s="107">
        <v>7109708.2100000028</v>
      </c>
      <c r="T64" s="103"/>
      <c r="U64" s="107">
        <v>9160901.6100000031</v>
      </c>
      <c r="V64" s="103"/>
      <c r="W64" s="107">
        <v>9160901.6100000031</v>
      </c>
      <c r="X64" s="103"/>
      <c r="Y64" s="107">
        <v>12010920.130000003</v>
      </c>
      <c r="Z64" s="103"/>
      <c r="AA64" s="107">
        <v>14511063.550000003</v>
      </c>
      <c r="AB64" s="103"/>
      <c r="AC64" s="107">
        <v>16851368.700000003</v>
      </c>
      <c r="AD64" s="103"/>
      <c r="AE64" s="107">
        <v>21192271.120000001</v>
      </c>
      <c r="AF64" s="103"/>
      <c r="AG64" s="107">
        <v>22092913.32</v>
      </c>
      <c r="AH64" s="103"/>
      <c r="AI64" s="107">
        <v>23143203.34</v>
      </c>
      <c r="AJ64" s="104"/>
      <c r="AK64" s="107">
        <v>23143203.34</v>
      </c>
      <c r="AL64" s="104"/>
      <c r="AM64" s="107">
        <v>28500000</v>
      </c>
      <c r="AN64" s="36"/>
      <c r="AO64" s="34"/>
    </row>
    <row r="65" spans="2:41" x14ac:dyDescent="0.3">
      <c r="C65" s="30" t="s">
        <v>56</v>
      </c>
      <c r="D65" s="99"/>
      <c r="E65" s="32"/>
      <c r="F65" s="32"/>
      <c r="G65" s="33">
        <f>SUMIFS([1]Recebíveis!$U:$U,[1]Recebíveis!$M:$M,"Sim")</f>
        <v>2286486.6408596011</v>
      </c>
      <c r="H65" s="103"/>
      <c r="I65" s="34">
        <v>2300045.392947386</v>
      </c>
      <c r="J65" s="103"/>
      <c r="K65" s="34">
        <v>2564777.3733076202</v>
      </c>
      <c r="L65" s="103"/>
      <c r="M65" s="34">
        <v>2704392.0600000005</v>
      </c>
      <c r="N65" s="103"/>
      <c r="O65" s="34">
        <v>3531506.59</v>
      </c>
      <c r="P65" s="103"/>
      <c r="Q65" s="34">
        <v>3004258.41</v>
      </c>
      <c r="R65" s="103"/>
      <c r="S65" s="34">
        <v>3160949.34</v>
      </c>
      <c r="T65" s="103"/>
      <c r="U65" s="34">
        <v>3200923.4300000006</v>
      </c>
      <c r="V65" s="103"/>
      <c r="W65" s="34">
        <v>3179727.9300000006</v>
      </c>
      <c r="X65" s="103"/>
      <c r="Y65" s="34">
        <v>2348727.8000000003</v>
      </c>
      <c r="Z65" s="103"/>
      <c r="AA65" s="34">
        <v>2880549.5399999996</v>
      </c>
      <c r="AB65" s="103"/>
      <c r="AC65" s="34">
        <v>2053482.25</v>
      </c>
      <c r="AD65" s="103"/>
      <c r="AE65" s="34">
        <v>2458986.16</v>
      </c>
      <c r="AF65" s="103"/>
      <c r="AG65" s="34">
        <v>2452120.2200000002</v>
      </c>
      <c r="AH65" s="103"/>
      <c r="AI65" s="34">
        <v>2832305.830000001</v>
      </c>
      <c r="AJ65" s="104"/>
      <c r="AK65" s="34">
        <v>8054723.5599999977</v>
      </c>
      <c r="AL65" s="104"/>
      <c r="AM65" s="34">
        <v>2982153.4600000009</v>
      </c>
      <c r="AN65" s="36"/>
      <c r="AO65" s="34"/>
    </row>
    <row r="66" spans="2:41" x14ac:dyDescent="0.3">
      <c r="C66" s="103" t="s">
        <v>57</v>
      </c>
      <c r="G66" s="33">
        <f>SUMIFS([1]Estoque!$C:$C,[1]Estoque!$J:$J,"Disponível")*AVERAGE([1]Estoque!M3:M5)/95%</f>
        <v>46659022.388683669</v>
      </c>
      <c r="H66" s="103"/>
      <c r="I66" s="34">
        <v>47036631.474009916</v>
      </c>
      <c r="J66" s="103"/>
      <c r="K66" s="34">
        <v>46411629.097162887</v>
      </c>
      <c r="L66" s="103"/>
      <c r="M66" s="34">
        <v>46411629.097162887</v>
      </c>
      <c r="N66" s="103"/>
      <c r="O66" s="34">
        <v>46411629.097162887</v>
      </c>
      <c r="P66" s="103"/>
      <c r="Q66" s="34">
        <v>43339515.62277884</v>
      </c>
      <c r="R66" s="103"/>
      <c r="S66" s="34">
        <v>43643687.35617996</v>
      </c>
      <c r="T66" s="103"/>
      <c r="U66" s="34">
        <v>45235612.224541508</v>
      </c>
      <c r="V66" s="103"/>
      <c r="W66" s="34">
        <v>45235612.224541508</v>
      </c>
      <c r="X66" s="103"/>
      <c r="Y66" s="34">
        <v>45235612.224541508</v>
      </c>
      <c r="Z66" s="103"/>
      <c r="AA66" s="34">
        <v>44587641.745338805</v>
      </c>
      <c r="AB66" s="103"/>
      <c r="AC66" s="34">
        <v>45004059.902553953</v>
      </c>
      <c r="AD66" s="103"/>
      <c r="AE66" s="34">
        <v>44456378.063694865</v>
      </c>
      <c r="AF66" s="103"/>
      <c r="AG66" s="34">
        <v>42591381.342650227</v>
      </c>
      <c r="AH66" s="103"/>
      <c r="AI66" s="34">
        <v>44459711.928513907</v>
      </c>
      <c r="AJ66" s="104"/>
      <c r="AK66" s="34">
        <v>44456378.063694865</v>
      </c>
      <c r="AL66" s="104"/>
      <c r="AM66" s="34">
        <v>44456378.063694865</v>
      </c>
      <c r="AN66" s="36"/>
      <c r="AO66" s="102"/>
    </row>
    <row r="67" spans="2:41" x14ac:dyDescent="0.3">
      <c r="I67" s="36"/>
      <c r="K67" s="36"/>
      <c r="M67" s="36"/>
      <c r="O67" s="36"/>
      <c r="Q67" s="36"/>
      <c r="S67" s="36"/>
      <c r="U67" s="36"/>
      <c r="W67" s="36"/>
      <c r="Y67" s="36"/>
      <c r="AA67" s="36"/>
      <c r="AC67" s="36"/>
      <c r="AE67" s="36"/>
      <c r="AG67" s="36"/>
      <c r="AI67" s="36"/>
      <c r="AK67" s="36"/>
      <c r="AM67" s="36"/>
      <c r="AN67" s="36"/>
      <c r="AO67" s="36"/>
    </row>
    <row r="68" spans="2:41" x14ac:dyDescent="0.3">
      <c r="I68" s="36"/>
      <c r="K68" s="36"/>
      <c r="M68" s="36"/>
      <c r="O68" s="36"/>
      <c r="Q68" s="36"/>
      <c r="S68" s="36"/>
      <c r="U68" s="36"/>
      <c r="W68" s="36"/>
      <c r="Y68" s="36"/>
      <c r="AA68" s="36"/>
      <c r="AC68" s="36"/>
      <c r="AE68" s="36"/>
      <c r="AG68" s="36"/>
      <c r="AI68" s="36"/>
      <c r="AK68" s="36"/>
      <c r="AM68" s="36"/>
      <c r="AN68" s="36"/>
      <c r="AO68" s="36"/>
    </row>
    <row r="69" spans="2:41" x14ac:dyDescent="0.3">
      <c r="I69" s="36"/>
      <c r="K69" s="36"/>
      <c r="M69" s="36"/>
      <c r="O69" s="36"/>
      <c r="Q69" s="36"/>
      <c r="S69" s="36"/>
      <c r="U69" s="36"/>
      <c r="W69" s="36"/>
      <c r="Y69" s="36"/>
      <c r="AA69" s="36"/>
      <c r="AC69" s="36"/>
      <c r="AE69" s="36"/>
      <c r="AG69" s="36"/>
      <c r="AI69" s="36"/>
      <c r="AK69" s="36"/>
      <c r="AM69" s="36"/>
      <c r="AN69" s="36"/>
      <c r="AO69" s="36"/>
    </row>
    <row r="70" spans="2:41" x14ac:dyDescent="0.3">
      <c r="I70" s="36"/>
      <c r="K70" s="36"/>
      <c r="M70" s="36"/>
      <c r="O70" s="36"/>
      <c r="Q70" s="36"/>
      <c r="S70" s="36"/>
      <c r="U70" s="36"/>
      <c r="W70" s="36"/>
      <c r="Y70" s="36"/>
      <c r="AA70" s="36"/>
      <c r="AC70" s="36"/>
      <c r="AE70" s="36"/>
      <c r="AG70" s="36"/>
      <c r="AI70" s="36"/>
      <c r="AK70" s="36"/>
      <c r="AM70" s="36"/>
      <c r="AN70" s="36"/>
      <c r="AO70" s="36"/>
    </row>
    <row r="71" spans="2:41" ht="9.6" customHeight="1" x14ac:dyDescent="0.3">
      <c r="G71" s="61"/>
      <c r="I71" s="36"/>
      <c r="K71" s="36"/>
      <c r="M71" s="36"/>
      <c r="O71" s="36"/>
      <c r="Q71" s="36"/>
      <c r="S71" s="36"/>
      <c r="U71" s="36"/>
      <c r="W71" s="36"/>
      <c r="Y71" s="36"/>
      <c r="AA71" s="36"/>
      <c r="AC71" s="36"/>
      <c r="AE71" s="36"/>
      <c r="AG71" s="36"/>
      <c r="AI71" s="36"/>
      <c r="AK71" s="36"/>
      <c r="AM71" s="36"/>
      <c r="AN71" s="36"/>
      <c r="AO71" s="36"/>
    </row>
    <row r="72" spans="2:41" ht="15" thickBot="1" x14ac:dyDescent="0.35">
      <c r="B72" s="57" t="s">
        <v>58</v>
      </c>
      <c r="C72" s="16" t="s">
        <v>59</v>
      </c>
      <c r="D72" s="58"/>
      <c r="E72" s="18"/>
      <c r="F72" s="18"/>
      <c r="G72" s="101">
        <f>(G73+G74+G75+G76)/G78</f>
        <v>0.89091805291194703</v>
      </c>
      <c r="I72" s="101">
        <v>0.92281946862390507</v>
      </c>
      <c r="K72" s="101">
        <v>0.91700071396839833</v>
      </c>
      <c r="M72" s="101">
        <v>1.0295448175304764</v>
      </c>
      <c r="O72" s="101">
        <v>1.0938217256453162</v>
      </c>
      <c r="Q72" s="101">
        <v>1.4173994290034511</v>
      </c>
      <c r="S72" s="101">
        <v>1.2824364920499665</v>
      </c>
      <c r="U72" s="101">
        <f>(U73+U74+U75+(U76*1%*U77))/U78</f>
        <v>1.2724659228116288</v>
      </c>
      <c r="W72" s="101">
        <f>(W73+W74+W75+(W76*1%*W77))/W78</f>
        <v>1.2707468305551004</v>
      </c>
      <c r="Y72" s="101">
        <f>(Y73+Y74+Y75+(Y76*1%*Y77))/Y78</f>
        <v>1.3057314205686814</v>
      </c>
      <c r="AA72" s="101">
        <f>(AA73+AA74+AA75+(AA76*1%*AA77))/AA78</f>
        <v>1.2561264740340754</v>
      </c>
      <c r="AC72" s="101">
        <f>(AC73+AC74+AC75+(AC76*1%*AC77))/AC78</f>
        <v>1.2571603110778982</v>
      </c>
      <c r="AE72" s="101">
        <f>(AE73+AE74+AE75+(AE76*1%*AE77))/AE78</f>
        <v>1.2641525766357402</v>
      </c>
      <c r="AG72" s="101">
        <f>(AG73+AG74+AG75+(AG76*1%*AG77))/AG78</f>
        <v>1.2850229260969344</v>
      </c>
      <c r="AI72" s="101">
        <f>(AI73+AI74+AI75+(AI76*1%*AI77))/AI78</f>
        <v>1.2868385272406688</v>
      </c>
      <c r="AK72" s="101">
        <f>(AK73+AK74+AK75+(AK76*1%*AK77))/AK78</f>
        <v>1.297842737187944</v>
      </c>
      <c r="AM72" s="101">
        <f>(AM73+AM74+AM75+(AM76*1%*AM77))/AM78</f>
        <v>1.3060433819138126</v>
      </c>
      <c r="AN72" s="36"/>
      <c r="AO72" s="108"/>
    </row>
    <row r="73" spans="2:41" ht="15" thickTop="1" x14ac:dyDescent="0.3">
      <c r="B73" s="98"/>
      <c r="C73" s="30" t="s">
        <v>60</v>
      </c>
      <c r="D73" s="99"/>
      <c r="E73" s="32"/>
      <c r="F73" s="32"/>
      <c r="G73" s="33">
        <v>1874143.79</v>
      </c>
      <c r="I73" s="34">
        <v>438773.72</v>
      </c>
      <c r="K73" s="34">
        <v>2401108.96</v>
      </c>
      <c r="M73" s="34">
        <v>3757167.32</v>
      </c>
      <c r="O73" s="34">
        <v>3489348.0300000003</v>
      </c>
      <c r="Q73" s="34">
        <v>2941239.21</v>
      </c>
      <c r="S73" s="34">
        <v>2868162.21</v>
      </c>
      <c r="U73" s="34">
        <v>2626213.5399999996</v>
      </c>
      <c r="W73" s="34">
        <v>4270373.0199999996</v>
      </c>
      <c r="Y73" s="34">
        <v>3688987.169999999</v>
      </c>
      <c r="AA73" s="34">
        <v>3600292.5</v>
      </c>
      <c r="AC73" s="34">
        <v>3610458.18</v>
      </c>
      <c r="AE73" s="34">
        <v>902734.72000000009</v>
      </c>
      <c r="AG73" s="34">
        <v>1230741.3700000001</v>
      </c>
      <c r="AI73" s="34">
        <v>1871596.3199999998</v>
      </c>
      <c r="AK73" s="34">
        <v>3410783.3900000006</v>
      </c>
      <c r="AM73" s="34">
        <v>0</v>
      </c>
      <c r="AN73" s="36"/>
      <c r="AO73" s="34"/>
    </row>
    <row r="74" spans="2:41" x14ac:dyDescent="0.3">
      <c r="B74" s="98"/>
      <c r="C74" s="30" t="s">
        <v>61</v>
      </c>
      <c r="D74" s="99"/>
      <c r="E74" s="32"/>
      <c r="F74" s="32"/>
      <c r="G74" s="33">
        <f>SUMIFS([1]Recebíveis!$U:$U,[1]Recebíveis!$K:$K,"Elegível",[1]Recebíveis!$L:$L,"Pré")</f>
        <v>2161.37</v>
      </c>
      <c r="I74" s="34">
        <v>622515.01534547983</v>
      </c>
      <c r="K74" s="34">
        <v>57792.465223011328</v>
      </c>
      <c r="M74" s="34">
        <v>832911.80000000016</v>
      </c>
      <c r="O74" s="34">
        <v>1158148.7799999993</v>
      </c>
      <c r="Q74" s="34">
        <v>1362806.1200000003</v>
      </c>
      <c r="S74" s="34">
        <v>1201700.23</v>
      </c>
      <c r="U74" s="34">
        <v>1153217</v>
      </c>
      <c r="W74" s="34">
        <v>1174978</v>
      </c>
      <c r="Y74" s="34">
        <v>1575315.4099999992</v>
      </c>
      <c r="AA74" s="34">
        <v>765559.35999999975</v>
      </c>
      <c r="AC74" s="34">
        <v>696332.45999999938</v>
      </c>
      <c r="AE74" s="34">
        <v>744386.74000000034</v>
      </c>
      <c r="AG74" s="34">
        <v>809145.31000000041</v>
      </c>
      <c r="AI74" s="34">
        <v>755247.88000000012</v>
      </c>
      <c r="AK74" s="34">
        <v>387158.80000000045</v>
      </c>
      <c r="AM74" s="34">
        <v>605686.54999999981</v>
      </c>
      <c r="AN74" s="36"/>
      <c r="AO74" s="34"/>
    </row>
    <row r="75" spans="2:41" x14ac:dyDescent="0.3">
      <c r="B75" s="98"/>
      <c r="C75" s="30" t="s">
        <v>53</v>
      </c>
      <c r="D75" s="99"/>
      <c r="E75" s="32"/>
      <c r="F75" s="32"/>
      <c r="G75" s="33">
        <f>G56</f>
        <v>914076.82999999821</v>
      </c>
      <c r="I75" s="34">
        <v>1815800.9100000001</v>
      </c>
      <c r="K75" s="34">
        <v>1815800.9100000001</v>
      </c>
      <c r="M75" s="34">
        <v>1815800.9100000001</v>
      </c>
      <c r="O75" s="34">
        <v>3215918</v>
      </c>
      <c r="Q75" s="34">
        <v>5509546.0500000026</v>
      </c>
      <c r="S75" s="34">
        <v>7109708.2100000028</v>
      </c>
      <c r="U75" s="34">
        <v>9160901.6100000031</v>
      </c>
      <c r="W75" s="34">
        <v>9160901.6100000031</v>
      </c>
      <c r="Y75" s="34">
        <v>12010920.130000003</v>
      </c>
      <c r="AA75" s="34">
        <v>14511063.550000003</v>
      </c>
      <c r="AC75" s="34">
        <v>16851368.700000003</v>
      </c>
      <c r="AE75" s="34">
        <v>21192271.120000001</v>
      </c>
      <c r="AG75" s="34">
        <v>22092913.32</v>
      </c>
      <c r="AI75" s="34">
        <v>23143203.34</v>
      </c>
      <c r="AK75" s="34">
        <v>23143203.34</v>
      </c>
      <c r="AM75" s="34">
        <v>28500000</v>
      </c>
      <c r="AN75" s="36"/>
      <c r="AO75" s="36"/>
    </row>
    <row r="76" spans="2:41" x14ac:dyDescent="0.3">
      <c r="B76" s="98"/>
      <c r="C76" s="30" t="s">
        <v>62</v>
      </c>
      <c r="D76" s="99"/>
      <c r="E76" s="32"/>
      <c r="F76" s="32"/>
      <c r="G76" s="33">
        <f>[1]Estoque!P6</f>
        <v>1411207.3599460605</v>
      </c>
      <c r="I76" s="34">
        <v>1900706.7977103398</v>
      </c>
      <c r="K76" s="34">
        <v>1867841.2130970445</v>
      </c>
      <c r="M76" s="34">
        <v>46411629.097162887</v>
      </c>
      <c r="O76" s="34">
        <v>46411629.097162887</v>
      </c>
      <c r="Q76" s="34">
        <v>43339515.62277884</v>
      </c>
      <c r="S76" s="34">
        <v>43643687.35617996</v>
      </c>
      <c r="U76" s="34">
        <v>45235612</v>
      </c>
      <c r="W76" s="34">
        <v>45235612</v>
      </c>
      <c r="Y76" s="34">
        <v>45235612.224541508</v>
      </c>
      <c r="AA76" s="34">
        <v>44587641.745338805</v>
      </c>
      <c r="AC76" s="34">
        <v>45004059.902553953</v>
      </c>
      <c r="AE76" s="34">
        <v>44456378.063694865</v>
      </c>
      <c r="AG76" s="34">
        <v>44456378.063694887</v>
      </c>
      <c r="AI76" s="34">
        <v>44459711.928513907</v>
      </c>
      <c r="AK76" s="34">
        <v>44456378.063694865</v>
      </c>
      <c r="AM76" s="34">
        <v>44456378.063694865</v>
      </c>
      <c r="AN76" s="36"/>
      <c r="AO76" s="34"/>
    </row>
    <row r="77" spans="2:41" x14ac:dyDescent="0.3">
      <c r="C77" s="30" t="s">
        <v>63</v>
      </c>
      <c r="D77" s="99"/>
      <c r="E77" s="32"/>
      <c r="F77" s="32"/>
      <c r="G77" s="109">
        <v>3</v>
      </c>
      <c r="I77" s="110">
        <v>4</v>
      </c>
      <c r="K77" s="110">
        <v>3</v>
      </c>
      <c r="M77" s="110">
        <v>4</v>
      </c>
      <c r="O77" s="110">
        <v>5</v>
      </c>
      <c r="Q77" s="110">
        <v>6</v>
      </c>
      <c r="S77" s="110">
        <v>7</v>
      </c>
      <c r="U77" s="110">
        <v>8</v>
      </c>
      <c r="W77" s="110">
        <v>9</v>
      </c>
      <c r="Y77" s="110">
        <v>10</v>
      </c>
      <c r="AA77" s="110">
        <v>11</v>
      </c>
      <c r="AC77" s="110">
        <v>12</v>
      </c>
      <c r="AE77" s="110">
        <v>13</v>
      </c>
      <c r="AG77" s="110">
        <v>14</v>
      </c>
      <c r="AI77" s="110">
        <v>15</v>
      </c>
      <c r="AK77" s="110">
        <v>16</v>
      </c>
      <c r="AM77" s="110">
        <v>17</v>
      </c>
      <c r="AN77" s="36"/>
      <c r="AO77" s="36"/>
    </row>
    <row r="78" spans="2:41" x14ac:dyDescent="0.3">
      <c r="C78" s="30" t="s">
        <v>64</v>
      </c>
      <c r="D78" s="99"/>
      <c r="E78" s="32"/>
      <c r="F78" s="32"/>
      <c r="G78" s="33">
        <v>4716022.2381994082</v>
      </c>
      <c r="I78" s="34">
        <v>5177390.1673101895</v>
      </c>
      <c r="K78" s="34">
        <v>6698515.557024681</v>
      </c>
      <c r="M78" s="34">
        <v>8476038.4747406337</v>
      </c>
      <c r="O78" s="34">
        <v>9734778.8091773018</v>
      </c>
      <c r="Q78" s="34">
        <f>SUM('[1]Projeção Custos de Obra'!BF11:BK11)*-1</f>
        <v>11444381.639631009</v>
      </c>
      <c r="S78" s="34">
        <v>11439993.894000001</v>
      </c>
      <c r="U78" s="34">
        <v>13013457.424000001</v>
      </c>
      <c r="W78" s="34">
        <v>14698016.364</v>
      </c>
      <c r="Y78" s="34">
        <v>16694692.024</v>
      </c>
      <c r="AA78" s="34">
        <v>18932453.454</v>
      </c>
      <c r="AC78" s="34">
        <v>21125902.794</v>
      </c>
      <c r="AE78" s="34">
        <v>22638661.074000001</v>
      </c>
      <c r="AG78" s="34">
        <v>23623464.074000001</v>
      </c>
      <c r="AI78" s="34">
        <v>25208294.313999999</v>
      </c>
      <c r="AK78" s="34">
        <v>26239054.274</v>
      </c>
      <c r="AM78" s="34">
        <v>28072016.081964709</v>
      </c>
      <c r="AN78" s="36"/>
      <c r="AO78" s="36"/>
    </row>
    <row r="79" spans="2:41" x14ac:dyDescent="0.3">
      <c r="C79" s="30" t="s">
        <v>65</v>
      </c>
      <c r="G79" s="33">
        <v>2174981.5453425604</v>
      </c>
      <c r="I79" s="111">
        <v>2521433.3211999997</v>
      </c>
      <c r="J79" s="112"/>
      <c r="K79" s="111">
        <v>2132259.3804000001</v>
      </c>
      <c r="L79" s="112"/>
      <c r="M79" s="111">
        <v>2228664.3849999998</v>
      </c>
      <c r="N79" s="112"/>
      <c r="O79" s="111">
        <v>2089348.18</v>
      </c>
      <c r="P79" s="112"/>
      <c r="Q79" s="111">
        <v>1760124.6949999998</v>
      </c>
      <c r="R79" s="112"/>
      <c r="S79" s="111">
        <v>2215493.344</v>
      </c>
      <c r="T79" s="112"/>
      <c r="U79" s="111">
        <v>1573463.53</v>
      </c>
      <c r="V79" s="112"/>
      <c r="W79" s="111">
        <v>1684558.9400000002</v>
      </c>
      <c r="X79" s="112"/>
      <c r="Y79" s="111">
        <v>1996675.6599999997</v>
      </c>
      <c r="Z79" s="112"/>
      <c r="AA79" s="111">
        <v>2237761.4300000002</v>
      </c>
      <c r="AB79" s="112"/>
      <c r="AC79" s="111">
        <v>2193449.34</v>
      </c>
      <c r="AD79" s="112"/>
      <c r="AE79" s="111">
        <v>1512758.2800000003</v>
      </c>
      <c r="AF79" s="112"/>
      <c r="AG79" s="111">
        <v>984803</v>
      </c>
      <c r="AI79" s="111">
        <v>1584830.24</v>
      </c>
      <c r="AK79" s="111">
        <v>1030759.96</v>
      </c>
      <c r="AM79" s="36"/>
      <c r="AN79" s="36"/>
      <c r="AO79" s="36"/>
    </row>
    <row r="80" spans="2:41" x14ac:dyDescent="0.3">
      <c r="C80" s="113" t="s">
        <v>66</v>
      </c>
      <c r="I80" s="102"/>
      <c r="K80" s="102"/>
      <c r="M80" s="102"/>
      <c r="O80" s="102"/>
      <c r="Q80" s="102"/>
      <c r="S80" s="102"/>
      <c r="U80" s="102"/>
      <c r="W80" s="36"/>
      <c r="Y80" s="36"/>
      <c r="AA80" s="36"/>
      <c r="AC80" s="36"/>
      <c r="AE80" s="36"/>
      <c r="AG80" s="36"/>
      <c r="AI80" s="36"/>
      <c r="AK80" s="36"/>
      <c r="AM80" s="36"/>
      <c r="AN80" s="36"/>
      <c r="AO80" s="36"/>
    </row>
    <row r="81" spans="2:45" x14ac:dyDescent="0.3">
      <c r="C81" s="113"/>
      <c r="I81" s="36"/>
      <c r="K81" s="36"/>
      <c r="M81" s="36"/>
      <c r="O81" s="36"/>
      <c r="Q81" s="36"/>
      <c r="S81" s="36"/>
      <c r="U81" s="36"/>
      <c r="W81" s="36"/>
      <c r="Y81" s="36"/>
      <c r="AA81" s="36"/>
      <c r="AC81" s="36"/>
      <c r="AE81" s="36"/>
      <c r="AG81" s="36"/>
      <c r="AI81" s="36"/>
      <c r="AK81" s="36"/>
      <c r="AM81" s="36"/>
      <c r="AN81" s="36"/>
      <c r="AO81" s="36"/>
    </row>
    <row r="82" spans="2:45" x14ac:dyDescent="0.3">
      <c r="G82" s="114"/>
      <c r="I82" s="102"/>
      <c r="K82" s="102"/>
      <c r="M82" s="102"/>
      <c r="O82" s="102"/>
      <c r="Q82" s="102"/>
      <c r="S82" s="102"/>
      <c r="U82" s="102"/>
      <c r="W82" s="102"/>
      <c r="Y82" s="102"/>
      <c r="AA82" s="102"/>
      <c r="AC82" s="102"/>
      <c r="AE82" s="102"/>
      <c r="AG82" s="102"/>
      <c r="AI82" s="102"/>
      <c r="AK82" s="102"/>
      <c r="AM82" s="102"/>
      <c r="AN82" s="36"/>
      <c r="AO82" s="36"/>
    </row>
    <row r="83" spans="2:45" x14ac:dyDescent="0.3">
      <c r="G83" s="112"/>
      <c r="I83" s="115"/>
      <c r="K83" s="36"/>
      <c r="M83" s="36"/>
      <c r="O83" s="36"/>
      <c r="Q83" s="36"/>
      <c r="S83" s="36"/>
      <c r="U83" s="36"/>
      <c r="W83" s="36"/>
      <c r="Y83" s="36"/>
      <c r="AA83" s="36"/>
      <c r="AC83" s="36"/>
      <c r="AE83" s="36"/>
      <c r="AG83" s="36"/>
      <c r="AI83" s="36"/>
      <c r="AK83" s="36"/>
      <c r="AM83" s="36"/>
      <c r="AN83" s="36"/>
      <c r="AO83" s="36"/>
    </row>
    <row r="84" spans="2:45" x14ac:dyDescent="0.3">
      <c r="G84" s="112"/>
      <c r="I84" s="36"/>
      <c r="K84" s="36"/>
      <c r="M84" s="36"/>
      <c r="O84" s="36"/>
      <c r="Q84" s="36"/>
      <c r="S84" s="36"/>
      <c r="U84" s="36"/>
      <c r="W84" s="36"/>
      <c r="Y84" s="36"/>
      <c r="AA84" s="36"/>
      <c r="AC84" s="36"/>
      <c r="AE84" s="36"/>
      <c r="AG84" s="36"/>
      <c r="AI84" s="36"/>
      <c r="AK84" s="36"/>
      <c r="AM84" s="36"/>
      <c r="AN84" s="36"/>
      <c r="AO84" s="36"/>
    </row>
    <row r="85" spans="2:45" x14ac:dyDescent="0.3">
      <c r="G85" s="112"/>
      <c r="I85" s="112"/>
    </row>
    <row r="86" spans="2:45" ht="25.5" customHeight="1" x14ac:dyDescent="0.3">
      <c r="B86" s="116"/>
      <c r="C86" s="116"/>
      <c r="D86" s="116"/>
      <c r="E86" s="116"/>
      <c r="F86" s="116"/>
      <c r="G86" s="116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8"/>
      <c r="AE86" s="117"/>
      <c r="AF86" s="118"/>
      <c r="AG86" s="117"/>
      <c r="AH86" s="118"/>
      <c r="AI86" s="117"/>
      <c r="AJ86" s="117"/>
      <c r="AK86" s="117"/>
      <c r="AL86" s="117"/>
      <c r="AM86" s="117"/>
      <c r="AN86" s="117"/>
      <c r="AO86" s="117"/>
      <c r="AR86" s="2" t="s">
        <v>3</v>
      </c>
      <c r="AS86" s="119">
        <v>0.1125</v>
      </c>
    </row>
    <row r="169" spans="2:7" ht="15" customHeight="1" x14ac:dyDescent="0.3">
      <c r="B169" s="120"/>
      <c r="C169" s="121"/>
      <c r="D169" s="121"/>
      <c r="E169" s="121"/>
      <c r="F169" s="121"/>
      <c r="G169" s="121"/>
    </row>
  </sheetData>
  <mergeCells count="3">
    <mergeCell ref="B2:G2"/>
    <mergeCell ref="I2:AO2"/>
    <mergeCell ref="B86:G86"/>
  </mergeCells>
  <conditionalFormatting sqref="G53">
    <cfRule type="cellIs" dxfId="101" priority="102" operator="lessThan">
      <formula>1.199999999999</formula>
    </cfRule>
    <cfRule type="cellIs" dxfId="102" priority="103" operator="greaterThan">
      <formula>1.2</formula>
    </cfRule>
  </conditionalFormatting>
  <conditionalFormatting sqref="G61">
    <cfRule type="cellIs" dxfId="99" priority="100" operator="lessThan">
      <formula>1.4</formula>
    </cfRule>
    <cfRule type="cellIs" dxfId="100" priority="101" operator="greaterThan">
      <formula>1.4</formula>
    </cfRule>
  </conditionalFormatting>
  <conditionalFormatting sqref="G72">
    <cfRule type="cellIs" dxfId="98" priority="25" operator="greaterThan">
      <formula>1.1</formula>
    </cfRule>
    <cfRule type="cellIs" dxfId="96" priority="26" operator="equal">
      <formula>1.1</formula>
    </cfRule>
    <cfRule type="cellIs" dxfId="97" priority="27" operator="lessThan">
      <formula>1.1</formula>
    </cfRule>
  </conditionalFormatting>
  <conditionalFormatting sqref="I53">
    <cfRule type="cellIs" dxfId="95" priority="3" operator="lessThan">
      <formula>1.199999999999</formula>
    </cfRule>
    <cfRule type="cellIs" dxfId="94" priority="4" operator="greaterThan">
      <formula>1.2</formula>
    </cfRule>
  </conditionalFormatting>
  <conditionalFormatting sqref="I61">
    <cfRule type="cellIs" dxfId="92" priority="1" operator="lessThan">
      <formula>1.4</formula>
    </cfRule>
    <cfRule type="cellIs" dxfId="93" priority="2" operator="greaterThan">
      <formula>1.4</formula>
    </cfRule>
  </conditionalFormatting>
  <conditionalFormatting sqref="I72">
    <cfRule type="cellIs" dxfId="91" priority="5" operator="lessThan">
      <formula>1.1</formula>
    </cfRule>
    <cfRule type="cellIs" dxfId="90" priority="6" operator="greaterThan">
      <formula>1.1</formula>
    </cfRule>
  </conditionalFormatting>
  <conditionalFormatting sqref="K53">
    <cfRule type="cellIs" dxfId="89" priority="9" operator="lessThan">
      <formula>1.199999999999</formula>
    </cfRule>
    <cfRule type="cellIs" dxfId="88" priority="10" operator="greaterThan">
      <formula>1.2</formula>
    </cfRule>
  </conditionalFormatting>
  <conditionalFormatting sqref="K61">
    <cfRule type="cellIs" dxfId="87" priority="7" operator="lessThan">
      <formula>1.4</formula>
    </cfRule>
    <cfRule type="cellIs" dxfId="86" priority="8" operator="greaterThan">
      <formula>1.4</formula>
    </cfRule>
  </conditionalFormatting>
  <conditionalFormatting sqref="K72">
    <cfRule type="cellIs" dxfId="85" priority="11" operator="lessThan">
      <formula>1.1</formula>
    </cfRule>
    <cfRule type="cellIs" dxfId="84" priority="12" operator="greaterThan">
      <formula>1.1</formula>
    </cfRule>
  </conditionalFormatting>
  <conditionalFormatting sqref="M53">
    <cfRule type="cellIs" dxfId="83" priority="15" operator="lessThan">
      <formula>1.199999999999</formula>
    </cfRule>
    <cfRule type="cellIs" dxfId="82" priority="16" operator="greaterThan">
      <formula>1.2</formula>
    </cfRule>
  </conditionalFormatting>
  <conditionalFormatting sqref="M61">
    <cfRule type="cellIs" dxfId="80" priority="13" operator="lessThan">
      <formula>1.4</formula>
    </cfRule>
    <cfRule type="cellIs" dxfId="81" priority="14" operator="greaterThan">
      <formula>1.4</formula>
    </cfRule>
  </conditionalFormatting>
  <conditionalFormatting sqref="M72">
    <cfRule type="cellIs" dxfId="79" priority="17" operator="lessThan">
      <formula>1.1</formula>
    </cfRule>
    <cfRule type="cellIs" dxfId="78" priority="18" operator="greaterThan">
      <formula>1.1</formula>
    </cfRule>
  </conditionalFormatting>
  <conditionalFormatting sqref="O53">
    <cfRule type="cellIs" dxfId="76" priority="21" operator="lessThan">
      <formula>1.199999999999</formula>
    </cfRule>
    <cfRule type="cellIs" dxfId="77" priority="22" operator="greaterThan">
      <formula>1.2</formula>
    </cfRule>
  </conditionalFormatting>
  <conditionalFormatting sqref="O61">
    <cfRule type="cellIs" dxfId="74" priority="19" operator="lessThan">
      <formula>1.4</formula>
    </cfRule>
    <cfRule type="cellIs" dxfId="75" priority="20" operator="greaterThan">
      <formula>1.4</formula>
    </cfRule>
  </conditionalFormatting>
  <conditionalFormatting sqref="O72">
    <cfRule type="cellIs" dxfId="73" priority="23" operator="lessThan">
      <formula>1.1</formula>
    </cfRule>
    <cfRule type="cellIs" dxfId="72" priority="24" operator="greaterThan">
      <formula>1.1</formula>
    </cfRule>
  </conditionalFormatting>
  <conditionalFormatting sqref="Q53">
    <cfRule type="cellIs" dxfId="71" priority="30" operator="lessThan">
      <formula>1.199999999999</formula>
    </cfRule>
    <cfRule type="cellIs" dxfId="70" priority="31" operator="greaterThan">
      <formula>1.2</formula>
    </cfRule>
  </conditionalFormatting>
  <conditionalFormatting sqref="Q61">
    <cfRule type="cellIs" dxfId="69" priority="28" operator="lessThan">
      <formula>1.4</formula>
    </cfRule>
    <cfRule type="cellIs" dxfId="68" priority="29" operator="greaterThan">
      <formula>1.4</formula>
    </cfRule>
  </conditionalFormatting>
  <conditionalFormatting sqref="Q72">
    <cfRule type="cellIs" dxfId="67" priority="32" operator="lessThan">
      <formula>1.1</formula>
    </cfRule>
    <cfRule type="cellIs" dxfId="66" priority="33" operator="greaterThan">
      <formula>1.1</formula>
    </cfRule>
  </conditionalFormatting>
  <conditionalFormatting sqref="S53">
    <cfRule type="cellIs" dxfId="65" priority="36" operator="lessThan">
      <formula>1.199999999999</formula>
    </cfRule>
    <cfRule type="cellIs" dxfId="64" priority="37" operator="greaterThan">
      <formula>1.2</formula>
    </cfRule>
  </conditionalFormatting>
  <conditionalFormatting sqref="S61">
    <cfRule type="cellIs" dxfId="63" priority="34" operator="lessThan">
      <formula>1.4</formula>
    </cfRule>
    <cfRule type="cellIs" dxfId="62" priority="35" operator="greaterThan">
      <formula>1.4</formula>
    </cfRule>
  </conditionalFormatting>
  <conditionalFormatting sqref="S72">
    <cfRule type="cellIs" dxfId="60" priority="38" operator="lessThan">
      <formula>1.1</formula>
    </cfRule>
    <cfRule type="cellIs" dxfId="61" priority="39" operator="greaterThan">
      <formula>1.1</formula>
    </cfRule>
  </conditionalFormatting>
  <conditionalFormatting sqref="U53">
    <cfRule type="cellIs" dxfId="58" priority="78" operator="lessThan">
      <formula>1.199999999999</formula>
    </cfRule>
    <cfRule type="cellIs" dxfId="59" priority="79" operator="greaterThan">
      <formula>1.2</formula>
    </cfRule>
  </conditionalFormatting>
  <conditionalFormatting sqref="U61">
    <cfRule type="cellIs" dxfId="57" priority="58" operator="lessThan">
      <formula>1.4</formula>
    </cfRule>
    <cfRule type="cellIs" dxfId="56" priority="59" operator="greaterThan">
      <formula>1.4</formula>
    </cfRule>
  </conditionalFormatting>
  <conditionalFormatting sqref="U72">
    <cfRule type="cellIs" dxfId="54" priority="98" operator="lessThan">
      <formula>1.1</formula>
    </cfRule>
    <cfRule type="cellIs" dxfId="55" priority="99" operator="greaterThan">
      <formula>1.1</formula>
    </cfRule>
  </conditionalFormatting>
  <conditionalFormatting sqref="W53">
    <cfRule type="cellIs" dxfId="52" priority="76" operator="lessThan">
      <formula>1.199999999999</formula>
    </cfRule>
    <cfRule type="cellIs" dxfId="53" priority="77" operator="greaterThan">
      <formula>1.2</formula>
    </cfRule>
  </conditionalFormatting>
  <conditionalFormatting sqref="W61">
    <cfRule type="cellIs" dxfId="51" priority="56" operator="lessThan">
      <formula>1.4</formula>
    </cfRule>
    <cfRule type="cellIs" dxfId="50" priority="57" operator="greaterThan">
      <formula>1.4</formula>
    </cfRule>
  </conditionalFormatting>
  <conditionalFormatting sqref="W72">
    <cfRule type="cellIs" dxfId="48" priority="96" operator="lessThan">
      <formula>1.1</formula>
    </cfRule>
    <cfRule type="cellIs" dxfId="49" priority="97" operator="greaterThan">
      <formula>1.1</formula>
    </cfRule>
  </conditionalFormatting>
  <conditionalFormatting sqref="Y53">
    <cfRule type="cellIs" dxfId="46" priority="74" operator="lessThan">
      <formula>1.199999999999</formula>
    </cfRule>
    <cfRule type="cellIs" dxfId="47" priority="75" operator="greaterThan">
      <formula>1.2</formula>
    </cfRule>
  </conditionalFormatting>
  <conditionalFormatting sqref="Y61">
    <cfRule type="cellIs" dxfId="45" priority="54" operator="lessThan">
      <formula>1.4</formula>
    </cfRule>
    <cfRule type="cellIs" dxfId="44" priority="55" operator="greaterThan">
      <formula>1.4</formula>
    </cfRule>
  </conditionalFormatting>
  <conditionalFormatting sqref="Y72">
    <cfRule type="cellIs" dxfId="42" priority="94" operator="lessThan">
      <formula>1.1</formula>
    </cfRule>
    <cfRule type="cellIs" dxfId="43" priority="95" operator="greaterThan">
      <formula>1.1</formula>
    </cfRule>
  </conditionalFormatting>
  <conditionalFormatting sqref="AA53">
    <cfRule type="cellIs" dxfId="41" priority="72" operator="lessThan">
      <formula>1.199999999999</formula>
    </cfRule>
    <cfRule type="cellIs" dxfId="40" priority="73" operator="greaterThan">
      <formula>1.2</formula>
    </cfRule>
  </conditionalFormatting>
  <conditionalFormatting sqref="AA61">
    <cfRule type="cellIs" dxfId="39" priority="52" operator="lessThan">
      <formula>1.4</formula>
    </cfRule>
    <cfRule type="cellIs" dxfId="38" priority="53" operator="greaterThan">
      <formula>1.4</formula>
    </cfRule>
  </conditionalFormatting>
  <conditionalFormatting sqref="AA72">
    <cfRule type="cellIs" dxfId="36" priority="92" operator="lessThan">
      <formula>1.1</formula>
    </cfRule>
    <cfRule type="cellIs" dxfId="37" priority="93" operator="greaterThan">
      <formula>1.1</formula>
    </cfRule>
  </conditionalFormatting>
  <conditionalFormatting sqref="AC53">
    <cfRule type="cellIs" dxfId="35" priority="70" operator="lessThan">
      <formula>1.199999999999</formula>
    </cfRule>
    <cfRule type="cellIs" dxfId="34" priority="71" operator="greaterThan">
      <formula>1.2</formula>
    </cfRule>
  </conditionalFormatting>
  <conditionalFormatting sqref="AC61">
    <cfRule type="cellIs" dxfId="33" priority="50" operator="lessThan">
      <formula>1.4</formula>
    </cfRule>
    <cfRule type="cellIs" dxfId="32" priority="51" operator="greaterThan">
      <formula>1.4</formula>
    </cfRule>
  </conditionalFormatting>
  <conditionalFormatting sqref="AC72">
    <cfRule type="cellIs" dxfId="30" priority="90" operator="lessThan">
      <formula>1.1</formula>
    </cfRule>
    <cfRule type="cellIs" dxfId="31" priority="91" operator="greaterThan">
      <formula>1.1</formula>
    </cfRule>
  </conditionalFormatting>
  <conditionalFormatting sqref="AE53">
    <cfRule type="cellIs" dxfId="28" priority="68" operator="lessThan">
      <formula>1.199999999999</formula>
    </cfRule>
    <cfRule type="cellIs" dxfId="29" priority="69" operator="greaterThan">
      <formula>1.2</formula>
    </cfRule>
  </conditionalFormatting>
  <conditionalFormatting sqref="AE61">
    <cfRule type="cellIs" dxfId="26" priority="48" operator="lessThan">
      <formula>1.4</formula>
    </cfRule>
    <cfRule type="cellIs" dxfId="27" priority="49" operator="greaterThan">
      <formula>1.4</formula>
    </cfRule>
  </conditionalFormatting>
  <conditionalFormatting sqref="AE72">
    <cfRule type="cellIs" dxfId="25" priority="88" operator="lessThan">
      <formula>1.1</formula>
    </cfRule>
    <cfRule type="cellIs" dxfId="24" priority="89" operator="greaterThan">
      <formula>1.1</formula>
    </cfRule>
  </conditionalFormatting>
  <conditionalFormatting sqref="AG53">
    <cfRule type="cellIs" dxfId="22" priority="66" operator="lessThan">
      <formula>1.199999999999</formula>
    </cfRule>
    <cfRule type="cellIs" dxfId="23" priority="67" operator="greaterThan">
      <formula>1.2</formula>
    </cfRule>
  </conditionalFormatting>
  <conditionalFormatting sqref="AG61">
    <cfRule type="cellIs" dxfId="21" priority="46" operator="lessThan">
      <formula>1.4</formula>
    </cfRule>
    <cfRule type="cellIs" dxfId="20" priority="47" operator="greaterThan">
      <formula>1.4</formula>
    </cfRule>
  </conditionalFormatting>
  <conditionalFormatting sqref="AG72">
    <cfRule type="cellIs" dxfId="19" priority="86" operator="lessThan">
      <formula>1.1</formula>
    </cfRule>
    <cfRule type="cellIs" dxfId="18" priority="87" operator="greaterThan">
      <formula>1.1</formula>
    </cfRule>
  </conditionalFormatting>
  <conditionalFormatting sqref="AI53">
    <cfRule type="cellIs" dxfId="16" priority="64" operator="lessThan">
      <formula>1.199999999999</formula>
    </cfRule>
    <cfRule type="cellIs" dxfId="17" priority="65" operator="greaterThan">
      <formula>1.2</formula>
    </cfRule>
  </conditionalFormatting>
  <conditionalFormatting sqref="AI61">
    <cfRule type="cellIs" dxfId="14" priority="44" operator="lessThan">
      <formula>1.4</formula>
    </cfRule>
    <cfRule type="cellIs" dxfId="15" priority="45" operator="greaterThan">
      <formula>1.4</formula>
    </cfRule>
  </conditionalFormatting>
  <conditionalFormatting sqref="AI72">
    <cfRule type="cellIs" dxfId="13" priority="84" operator="lessThan">
      <formula>1.1</formula>
    </cfRule>
    <cfRule type="cellIs" dxfId="12" priority="85" operator="greaterThan">
      <formula>1.1</formula>
    </cfRule>
  </conditionalFormatting>
  <conditionalFormatting sqref="AK53">
    <cfRule type="cellIs" dxfId="10" priority="62" operator="lessThan">
      <formula>1.199999999999</formula>
    </cfRule>
    <cfRule type="cellIs" dxfId="11" priority="63" operator="greaterThan">
      <formula>1.2</formula>
    </cfRule>
  </conditionalFormatting>
  <conditionalFormatting sqref="AK61">
    <cfRule type="cellIs" dxfId="8" priority="42" operator="lessThan">
      <formula>1.4</formula>
    </cfRule>
    <cfRule type="cellIs" dxfId="9" priority="43" operator="greaterThan">
      <formula>1.4</formula>
    </cfRule>
  </conditionalFormatting>
  <conditionalFormatting sqref="AK72">
    <cfRule type="cellIs" dxfId="7" priority="82" operator="lessThan">
      <formula>1.1</formula>
    </cfRule>
    <cfRule type="cellIs" dxfId="6" priority="83" operator="greaterThan">
      <formula>1.1</formula>
    </cfRule>
  </conditionalFormatting>
  <conditionalFormatting sqref="AM53">
    <cfRule type="cellIs" dxfId="4" priority="60" operator="lessThan">
      <formula>1.199999999999</formula>
    </cfRule>
    <cfRule type="cellIs" dxfId="5" priority="61" operator="greaterThan">
      <formula>1.2</formula>
    </cfRule>
  </conditionalFormatting>
  <conditionalFormatting sqref="AM61">
    <cfRule type="cellIs" dxfId="3" priority="40" operator="lessThan">
      <formula>1.4</formula>
    </cfRule>
    <cfRule type="cellIs" dxfId="2" priority="41" operator="greaterThan">
      <formula>1.4</formula>
    </cfRule>
  </conditionalFormatting>
  <conditionalFormatting sqref="AM72">
    <cfRule type="cellIs" dxfId="1" priority="80" operator="lessThan">
      <formula>1.1</formula>
    </cfRule>
    <cfRule type="cellIs" dxfId="0" priority="81" operator="greaterThan">
      <formula>1.1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59B9C2-2946-4F6E-8199-EF4A3C6C8B24}"/>
</file>

<file path=customXml/itemProps2.xml><?xml version="1.0" encoding="utf-8"?>
<ds:datastoreItem xmlns:ds="http://schemas.openxmlformats.org/officeDocument/2006/customXml" ds:itemID="{B799995F-AAE8-40D9-BA6B-7B093FF6E279}"/>
</file>

<file path=customXml/itemProps3.xml><?xml version="1.0" encoding="utf-8"?>
<ds:datastoreItem xmlns:ds="http://schemas.openxmlformats.org/officeDocument/2006/customXml" ds:itemID="{06269116-4491-44D7-B4E4-47FC9C0F2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2025-06-17T17:36:33Z</dcterms:created>
  <dcterms:modified xsi:type="dcterms:W3CDTF">2025-06-17T17:37:17Z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